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readypool-my.sharepoint.com/personal/scott_nistassist_com/Documents/RPTS Business/"/>
    </mc:Choice>
  </mc:AlternateContent>
  <xr:revisionPtr revIDLastSave="1" documentId="11_E44AC96DC4FA5DF2FA630EC45E8941A10E77D0D3" xr6:coauthVersionLast="47" xr6:coauthVersionMax="47" xr10:uidLastSave="{93CC028B-C1C8-4387-BED7-8F112D37ADE0}"/>
  <bookViews>
    <workbookView xWindow="1980" yWindow="780" windowWidth="21705" windowHeight="14685" xr2:uid="{00000000-000D-0000-FFFF-FFFF00000000}"/>
  </bookViews>
  <sheets>
    <sheet name="Introduction" sheetId="5" r:id="rId1"/>
    <sheet name="Guidance" sheetId="4" r:id="rId2"/>
    <sheet name="RPTS Breakeven Calculator" sheetId="1" r:id="rId3"/>
    <sheet name="Detailed Calculations" sheetId="3" r:id="rId4"/>
  </sheets>
  <definedNames>
    <definedName name="_Toc438110890" localSheetId="1">Guidance!$B$1</definedName>
    <definedName name="_Toc438110891" localSheetId="1">Guidance!$B$9</definedName>
    <definedName name="_Toc438110892" localSheetId="1">Guidance!$B$13</definedName>
    <definedName name="_Toc438110893" localSheetId="1">Guidance!$B$19</definedName>
    <definedName name="_Toc438110894" localSheetId="1">Guidance!$B$22</definedName>
    <definedName name="_Toc438110895" localSheetId="1">Guidance!$B$25</definedName>
    <definedName name="_Toc438110896" localSheetId="1">Guidance!$B$29</definedName>
    <definedName name="_Toc438110897" localSheetId="1">Guidance!$B$36</definedName>
    <definedName name="_Toc438110898" localSheetId="1">Guidance!$B$33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4" i="3" l="1"/>
  <c r="AN4" i="3"/>
  <c r="AO4" i="3"/>
  <c r="AP4" i="3"/>
  <c r="AQ4" i="3"/>
  <c r="AR4" i="3"/>
  <c r="AS4" i="3"/>
  <c r="AT4" i="3"/>
  <c r="AU4" i="3"/>
  <c r="AV4" i="3"/>
  <c r="AW4" i="3"/>
  <c r="AL4" i="3"/>
  <c r="AA4" i="3"/>
  <c r="AB4" i="3"/>
  <c r="AC4" i="3"/>
  <c r="AD4" i="3"/>
  <c r="AE4" i="3"/>
  <c r="AF4" i="3"/>
  <c r="AG4" i="3"/>
  <c r="AH4" i="3"/>
  <c r="AI4" i="3"/>
  <c r="AJ4" i="3"/>
  <c r="AK4" i="3"/>
  <c r="Z4" i="3"/>
  <c r="O4" i="3"/>
  <c r="P4" i="3"/>
  <c r="Q4" i="3"/>
  <c r="R4" i="3"/>
  <c r="S4" i="3"/>
  <c r="T4" i="3"/>
  <c r="U4" i="3"/>
  <c r="V4" i="3"/>
  <c r="W4" i="3"/>
  <c r="X4" i="3"/>
  <c r="Y4" i="3"/>
  <c r="N4" i="3"/>
  <c r="C4" i="3"/>
  <c r="D4" i="3"/>
  <c r="E4" i="3"/>
  <c r="F4" i="3"/>
  <c r="G4" i="3"/>
  <c r="H4" i="3"/>
  <c r="I4" i="3"/>
  <c r="J4" i="3"/>
  <c r="K4" i="3"/>
  <c r="L4" i="3"/>
  <c r="M4" i="3"/>
  <c r="B4" i="3"/>
  <c r="F18" i="1"/>
  <c r="F13" i="1"/>
  <c r="B13" i="3" s="1"/>
  <c r="C17" i="3" l="1"/>
  <c r="C18" i="3"/>
  <c r="S18" i="3"/>
  <c r="S17" i="3"/>
  <c r="AE17" i="3"/>
  <c r="AE18" i="3"/>
  <c r="AU17" i="3"/>
  <c r="AU18" i="3"/>
  <c r="AQ18" i="3"/>
  <c r="AQ17" i="3"/>
  <c r="J18" i="3"/>
  <c r="J17" i="3"/>
  <c r="F18" i="3"/>
  <c r="F17" i="3"/>
  <c r="N18" i="3"/>
  <c r="N17" i="3"/>
  <c r="V18" i="3"/>
  <c r="V17" i="3"/>
  <c r="R18" i="3"/>
  <c r="R17" i="3"/>
  <c r="Z18" i="3"/>
  <c r="Z17" i="3"/>
  <c r="AH18" i="3"/>
  <c r="AH17" i="3"/>
  <c r="AD18" i="3"/>
  <c r="AD17" i="3"/>
  <c r="AL18" i="3"/>
  <c r="AL17" i="3"/>
  <c r="AT18" i="3"/>
  <c r="AT17" i="3"/>
  <c r="AP18" i="3"/>
  <c r="AP17" i="3"/>
  <c r="K18" i="3"/>
  <c r="K17" i="3"/>
  <c r="O17" i="3"/>
  <c r="O18" i="3"/>
  <c r="AM17" i="3"/>
  <c r="AM18" i="3"/>
  <c r="B5" i="3"/>
  <c r="B10" i="3" s="1"/>
  <c r="B15" i="3" s="1"/>
  <c r="B18" i="3"/>
  <c r="B17" i="3"/>
  <c r="M18" i="3"/>
  <c r="M17" i="3"/>
  <c r="I18" i="3"/>
  <c r="I17" i="3"/>
  <c r="E18" i="3"/>
  <c r="E17" i="3"/>
  <c r="Y18" i="3"/>
  <c r="Y17" i="3"/>
  <c r="U18" i="3"/>
  <c r="U17" i="3"/>
  <c r="Q18" i="3"/>
  <c r="Q17" i="3"/>
  <c r="AK18" i="3"/>
  <c r="AK17" i="3"/>
  <c r="AG18" i="3"/>
  <c r="AG17" i="3"/>
  <c r="AC18" i="3"/>
  <c r="AC17" i="3"/>
  <c r="AW18" i="3"/>
  <c r="AW17" i="3"/>
  <c r="AS18" i="3"/>
  <c r="AS17" i="3"/>
  <c r="AO18" i="3"/>
  <c r="AO17" i="3"/>
  <c r="G17" i="3"/>
  <c r="G18" i="3"/>
  <c r="W17" i="3"/>
  <c r="W18" i="3"/>
  <c r="AI18" i="3"/>
  <c r="AI17" i="3"/>
  <c r="AA18" i="3"/>
  <c r="AA17" i="3"/>
  <c r="L18" i="3"/>
  <c r="L17" i="3"/>
  <c r="H18" i="3"/>
  <c r="H17" i="3"/>
  <c r="D18" i="3"/>
  <c r="D17" i="3"/>
  <c r="X18" i="3"/>
  <c r="X17" i="3"/>
  <c r="T18" i="3"/>
  <c r="T17" i="3"/>
  <c r="P18" i="3"/>
  <c r="P17" i="3"/>
  <c r="AJ18" i="3"/>
  <c r="AJ17" i="3"/>
  <c r="AF18" i="3"/>
  <c r="AF17" i="3"/>
  <c r="AB18" i="3"/>
  <c r="AB17" i="3"/>
  <c r="AV18" i="3"/>
  <c r="AV17" i="3"/>
  <c r="AR18" i="3"/>
  <c r="AR17" i="3"/>
  <c r="AN18" i="3"/>
  <c r="AN17" i="3"/>
  <c r="C5" i="3" l="1"/>
  <c r="C10" i="3" s="1"/>
  <c r="C15" i="3" s="1"/>
  <c r="B7" i="3"/>
  <c r="B8" i="3"/>
  <c r="B23" i="3" s="1"/>
  <c r="B24" i="3" s="1"/>
  <c r="C7" i="3" l="1"/>
  <c r="C8" i="3"/>
  <c r="C23" i="3" s="1"/>
  <c r="C24" i="3" s="1"/>
  <c r="D5" i="3"/>
  <c r="D10" i="3" s="1"/>
  <c r="D15" i="3" s="1"/>
  <c r="C20" i="3"/>
  <c r="D7" i="3" l="1"/>
  <c r="D20" i="3" s="1"/>
  <c r="D8" i="3"/>
  <c r="D23" i="3" s="1"/>
  <c r="D24" i="3" s="1"/>
  <c r="E5" i="3"/>
  <c r="E10" i="3" s="1"/>
  <c r="E15" i="3" s="1"/>
  <c r="F5" i="3" l="1"/>
  <c r="F10" i="3" s="1"/>
  <c r="F15" i="3" s="1"/>
  <c r="E8" i="3"/>
  <c r="E23" i="3" s="1"/>
  <c r="E24" i="3" s="1"/>
  <c r="E7" i="3"/>
  <c r="F7" i="3"/>
  <c r="F8" i="3" l="1"/>
  <c r="F23" i="3" s="1"/>
  <c r="F24" i="3" s="1"/>
  <c r="G5" i="3"/>
  <c r="G10" i="3" s="1"/>
  <c r="G15" i="3" s="1"/>
  <c r="E20" i="3"/>
  <c r="F20" i="3"/>
  <c r="H5" i="3"/>
  <c r="H10" i="3" s="1"/>
  <c r="H15" i="3" s="1"/>
  <c r="G8" i="3" l="1"/>
  <c r="G23" i="3" s="1"/>
  <c r="G24" i="3" s="1"/>
  <c r="G7" i="3"/>
  <c r="G20" i="3" s="1"/>
  <c r="I5" i="3"/>
  <c r="I10" i="3" s="1"/>
  <c r="I15" i="3" s="1"/>
  <c r="H8" i="3"/>
  <c r="H23" i="3" s="1"/>
  <c r="H7" i="3"/>
  <c r="H24" i="3" l="1"/>
  <c r="H20" i="3"/>
  <c r="J5" i="3"/>
  <c r="J10" i="3" s="1"/>
  <c r="J15" i="3" s="1"/>
  <c r="I7" i="3"/>
  <c r="I8" i="3"/>
  <c r="I23" i="3" s="1"/>
  <c r="I24" i="3" s="1"/>
  <c r="I20" i="3" l="1"/>
  <c r="K5" i="3"/>
  <c r="K10" i="3" s="1"/>
  <c r="K15" i="3" s="1"/>
  <c r="J7" i="3"/>
  <c r="J8" i="3"/>
  <c r="J23" i="3" s="1"/>
  <c r="J24" i="3" s="1"/>
  <c r="J20" i="3" l="1"/>
  <c r="L5" i="3"/>
  <c r="L10" i="3" s="1"/>
  <c r="L15" i="3" s="1"/>
  <c r="K8" i="3"/>
  <c r="K23" i="3" s="1"/>
  <c r="K24" i="3" s="1"/>
  <c r="K7" i="3"/>
  <c r="K20" i="3" l="1"/>
  <c r="M5" i="3"/>
  <c r="L8" i="3"/>
  <c r="L23" i="3" s="1"/>
  <c r="L24" i="3" s="1"/>
  <c r="L7" i="3"/>
  <c r="M10" i="3" l="1"/>
  <c r="M15" i="3" s="1"/>
  <c r="B27" i="3"/>
  <c r="L20" i="3"/>
  <c r="M8" i="3"/>
  <c r="M23" i="3" s="1"/>
  <c r="M24" i="3" s="1"/>
  <c r="M7" i="3"/>
  <c r="N5" i="3"/>
  <c r="N10" i="3" s="1"/>
  <c r="N15" i="3" s="1"/>
  <c r="M20" i="3" l="1"/>
  <c r="N7" i="3"/>
  <c r="N8" i="3"/>
  <c r="N23" i="3" s="1"/>
  <c r="N24" i="3" s="1"/>
  <c r="O5" i="3"/>
  <c r="O10" i="3" s="1"/>
  <c r="O15" i="3" s="1"/>
  <c r="N20" i="3" l="1"/>
  <c r="P5" i="3"/>
  <c r="P10" i="3" s="1"/>
  <c r="P15" i="3" s="1"/>
  <c r="O8" i="3"/>
  <c r="O23" i="3" s="1"/>
  <c r="O24" i="3" s="1"/>
  <c r="O7" i="3"/>
  <c r="O20" i="3" l="1"/>
  <c r="Q5" i="3"/>
  <c r="Q10" i="3" s="1"/>
  <c r="Q15" i="3" s="1"/>
  <c r="P8" i="3"/>
  <c r="P23" i="3" s="1"/>
  <c r="P24" i="3" s="1"/>
  <c r="P7" i="3"/>
  <c r="P20" i="3" l="1"/>
  <c r="R5" i="3"/>
  <c r="R10" i="3" s="1"/>
  <c r="R15" i="3" s="1"/>
  <c r="Q7" i="3"/>
  <c r="Q8" i="3"/>
  <c r="Q23" i="3" s="1"/>
  <c r="Q24" i="3" s="1"/>
  <c r="Q20" i="3" l="1"/>
  <c r="S5" i="3"/>
  <c r="S10" i="3" s="1"/>
  <c r="S15" i="3" s="1"/>
  <c r="R8" i="3"/>
  <c r="R23" i="3" s="1"/>
  <c r="R24" i="3" s="1"/>
  <c r="R7" i="3"/>
  <c r="R20" i="3" l="1"/>
  <c r="T5" i="3"/>
  <c r="T10" i="3" s="1"/>
  <c r="T15" i="3" s="1"/>
  <c r="S8" i="3"/>
  <c r="S23" i="3" s="1"/>
  <c r="S24" i="3" s="1"/>
  <c r="S7" i="3"/>
  <c r="S20" i="3" l="1"/>
  <c r="U5" i="3"/>
  <c r="U10" i="3" s="1"/>
  <c r="U15" i="3" s="1"/>
  <c r="T8" i="3"/>
  <c r="T23" i="3" s="1"/>
  <c r="T24" i="3" s="1"/>
  <c r="T7" i="3"/>
  <c r="T20" i="3" l="1"/>
  <c r="V5" i="3"/>
  <c r="V10" i="3" s="1"/>
  <c r="V15" i="3" s="1"/>
  <c r="U8" i="3"/>
  <c r="U23" i="3" s="1"/>
  <c r="U24" i="3" s="1"/>
  <c r="U7" i="3"/>
  <c r="U20" i="3" l="1"/>
  <c r="W5" i="3"/>
  <c r="W10" i="3" s="1"/>
  <c r="W15" i="3" s="1"/>
  <c r="V7" i="3"/>
  <c r="V8" i="3"/>
  <c r="V23" i="3" s="1"/>
  <c r="V24" i="3" s="1"/>
  <c r="V20" i="3" l="1"/>
  <c r="X5" i="3"/>
  <c r="X10" i="3" s="1"/>
  <c r="X15" i="3" s="1"/>
  <c r="W8" i="3"/>
  <c r="W23" i="3" s="1"/>
  <c r="W24" i="3" s="1"/>
  <c r="W7" i="3"/>
  <c r="W20" i="3" l="1"/>
  <c r="Y5" i="3"/>
  <c r="X8" i="3"/>
  <c r="X23" i="3" s="1"/>
  <c r="X24" i="3" s="1"/>
  <c r="X7" i="3"/>
  <c r="Y10" i="3" l="1"/>
  <c r="Y15" i="3" s="1"/>
  <c r="C27" i="3"/>
  <c r="X20" i="3"/>
  <c r="Z5" i="3"/>
  <c r="Z10" i="3" s="1"/>
  <c r="Z15" i="3" s="1"/>
  <c r="Y8" i="3"/>
  <c r="Y23" i="3" s="1"/>
  <c r="Y24" i="3" s="1"/>
  <c r="H19" i="1" s="1"/>
  <c r="Y7" i="3"/>
  <c r="Y20" i="3" l="1"/>
  <c r="AA5" i="3"/>
  <c r="AA10" i="3" s="1"/>
  <c r="AA15" i="3" s="1"/>
  <c r="Z8" i="3"/>
  <c r="Z23" i="3" s="1"/>
  <c r="Z24" i="3" s="1"/>
  <c r="Z7" i="3"/>
  <c r="Z20" i="3" l="1"/>
  <c r="AB5" i="3"/>
  <c r="AB10" i="3" s="1"/>
  <c r="AB15" i="3" s="1"/>
  <c r="AA8" i="3"/>
  <c r="AA23" i="3" s="1"/>
  <c r="AA24" i="3" s="1"/>
  <c r="AA7" i="3"/>
  <c r="AA20" i="3" l="1"/>
  <c r="AC5" i="3"/>
  <c r="AC10" i="3" s="1"/>
  <c r="AC15" i="3" s="1"/>
  <c r="AB8" i="3"/>
  <c r="AB23" i="3" s="1"/>
  <c r="AB24" i="3" s="1"/>
  <c r="AB7" i="3"/>
  <c r="AB20" i="3" l="1"/>
  <c r="AD5" i="3"/>
  <c r="AD10" i="3" s="1"/>
  <c r="AD15" i="3" s="1"/>
  <c r="AC7" i="3"/>
  <c r="AC8" i="3"/>
  <c r="AC23" i="3" s="1"/>
  <c r="AC24" i="3" s="1"/>
  <c r="AC20" i="3" l="1"/>
  <c r="AE5" i="3"/>
  <c r="AE10" i="3" s="1"/>
  <c r="AE15" i="3" s="1"/>
  <c r="AD7" i="3"/>
  <c r="AD8" i="3"/>
  <c r="AD23" i="3" s="1"/>
  <c r="AD24" i="3" s="1"/>
  <c r="AD20" i="3" l="1"/>
  <c r="AF5" i="3"/>
  <c r="AF10" i="3" s="1"/>
  <c r="AF15" i="3" s="1"/>
  <c r="AE8" i="3"/>
  <c r="AE23" i="3" s="1"/>
  <c r="AE24" i="3" s="1"/>
  <c r="AE7" i="3"/>
  <c r="AE20" i="3" l="1"/>
  <c r="AG5" i="3"/>
  <c r="AG10" i="3" s="1"/>
  <c r="AG15" i="3" s="1"/>
  <c r="AF8" i="3"/>
  <c r="AF23" i="3" s="1"/>
  <c r="AF24" i="3" s="1"/>
  <c r="AF7" i="3"/>
  <c r="AF20" i="3" l="1"/>
  <c r="AH5" i="3"/>
  <c r="AH10" i="3" s="1"/>
  <c r="AH15" i="3" s="1"/>
  <c r="AG8" i="3"/>
  <c r="AG23" i="3" s="1"/>
  <c r="AG24" i="3" s="1"/>
  <c r="AG7" i="3"/>
  <c r="AG20" i="3" l="1"/>
  <c r="AI5" i="3"/>
  <c r="AI10" i="3" s="1"/>
  <c r="AI15" i="3" s="1"/>
  <c r="AH8" i="3"/>
  <c r="AH23" i="3" s="1"/>
  <c r="AH24" i="3" s="1"/>
  <c r="AH7" i="3"/>
  <c r="AH20" i="3" l="1"/>
  <c r="AJ5" i="3"/>
  <c r="AJ10" i="3" s="1"/>
  <c r="AJ15" i="3" s="1"/>
  <c r="AI8" i="3"/>
  <c r="AI23" i="3" s="1"/>
  <c r="AI24" i="3" s="1"/>
  <c r="AI7" i="3"/>
  <c r="AI20" i="3" l="1"/>
  <c r="AK5" i="3"/>
  <c r="AJ8" i="3"/>
  <c r="AJ23" i="3" s="1"/>
  <c r="AJ24" i="3" s="1"/>
  <c r="AJ7" i="3"/>
  <c r="AK10" i="3" l="1"/>
  <c r="AK15" i="3" s="1"/>
  <c r="D27" i="3"/>
  <c r="AJ20" i="3"/>
  <c r="AL5" i="3"/>
  <c r="AL10" i="3" s="1"/>
  <c r="AL15" i="3" s="1"/>
  <c r="AK7" i="3"/>
  <c r="AK8" i="3"/>
  <c r="AK23" i="3" s="1"/>
  <c r="AK24" i="3" s="1"/>
  <c r="AK20" i="3" l="1"/>
  <c r="AM5" i="3"/>
  <c r="AM10" i="3" s="1"/>
  <c r="AM15" i="3" s="1"/>
  <c r="AL7" i="3"/>
  <c r="AL8" i="3"/>
  <c r="AL23" i="3" s="1"/>
  <c r="AL24" i="3" s="1"/>
  <c r="AL20" i="3" l="1"/>
  <c r="AN5" i="3"/>
  <c r="AN10" i="3" s="1"/>
  <c r="AN15" i="3" s="1"/>
  <c r="AM8" i="3"/>
  <c r="AM23" i="3" s="1"/>
  <c r="AM24" i="3" s="1"/>
  <c r="AM7" i="3"/>
  <c r="AM20" i="3" l="1"/>
  <c r="AO5" i="3"/>
  <c r="AO10" i="3" s="1"/>
  <c r="AO15" i="3" s="1"/>
  <c r="AN8" i="3"/>
  <c r="AN23" i="3" s="1"/>
  <c r="AN24" i="3" s="1"/>
  <c r="AN7" i="3"/>
  <c r="AN20" i="3" l="1"/>
  <c r="AP5" i="3"/>
  <c r="AP10" i="3" s="1"/>
  <c r="AP15" i="3" s="1"/>
  <c r="AO8" i="3"/>
  <c r="AO23" i="3" s="1"/>
  <c r="AO24" i="3" s="1"/>
  <c r="AO7" i="3"/>
  <c r="AO20" i="3" l="1"/>
  <c r="AQ5" i="3"/>
  <c r="AQ10" i="3" s="1"/>
  <c r="AQ15" i="3" s="1"/>
  <c r="AP8" i="3"/>
  <c r="AP23" i="3" s="1"/>
  <c r="AP24" i="3" s="1"/>
  <c r="AP7" i="3"/>
  <c r="AP20" i="3" l="1"/>
  <c r="AR5" i="3"/>
  <c r="AR10" i="3" s="1"/>
  <c r="AR15" i="3" s="1"/>
  <c r="AQ8" i="3"/>
  <c r="AQ23" i="3" s="1"/>
  <c r="AQ24" i="3" s="1"/>
  <c r="AQ7" i="3"/>
  <c r="AQ20" i="3" l="1"/>
  <c r="AS5" i="3"/>
  <c r="AS10" i="3" s="1"/>
  <c r="AS15" i="3" s="1"/>
  <c r="AR8" i="3"/>
  <c r="AR23" i="3" s="1"/>
  <c r="AR24" i="3" s="1"/>
  <c r="AR7" i="3"/>
  <c r="AR20" i="3" l="1"/>
  <c r="AT5" i="3"/>
  <c r="AT10" i="3" s="1"/>
  <c r="AT15" i="3" s="1"/>
  <c r="AS8" i="3"/>
  <c r="AS23" i="3" s="1"/>
  <c r="AS24" i="3" s="1"/>
  <c r="AS7" i="3"/>
  <c r="AS20" i="3" l="1"/>
  <c r="AU5" i="3"/>
  <c r="AU10" i="3" s="1"/>
  <c r="AU15" i="3" s="1"/>
  <c r="AT8" i="3"/>
  <c r="AT23" i="3" s="1"/>
  <c r="AT24" i="3" s="1"/>
  <c r="AT7" i="3"/>
  <c r="AT20" i="3" l="1"/>
  <c r="AV5" i="3"/>
  <c r="AV10" i="3" s="1"/>
  <c r="AV15" i="3" s="1"/>
  <c r="AU8" i="3"/>
  <c r="AU23" i="3" s="1"/>
  <c r="AU24" i="3" s="1"/>
  <c r="AU7" i="3"/>
  <c r="AU20" i="3" l="1"/>
  <c r="AW5" i="3"/>
  <c r="AV8" i="3"/>
  <c r="AV23" i="3" s="1"/>
  <c r="AV24" i="3" s="1"/>
  <c r="AV7" i="3"/>
  <c r="AW10" i="3" l="1"/>
  <c r="AW15" i="3" s="1"/>
  <c r="E27" i="3"/>
  <c r="AV20" i="3"/>
  <c r="AW8" i="3"/>
  <c r="AW23" i="3" s="1"/>
  <c r="AW24" i="3" s="1"/>
  <c r="H10" i="1" s="1"/>
  <c r="AW7" i="3"/>
  <c r="AW20" i="3" l="1"/>
  <c r="E13" i="1" l="1"/>
  <c r="B12" i="3" s="1"/>
  <c r="B20" i="3" s="1"/>
  <c r="B21" i="3" s="1"/>
  <c r="C21" i="3" s="1"/>
  <c r="D21" i="3" s="1"/>
  <c r="E21" i="3" s="1"/>
  <c r="F21" i="3" s="1"/>
  <c r="G21" i="3" s="1"/>
  <c r="H21" i="3" s="1"/>
  <c r="I21" i="3" s="1"/>
  <c r="J21" i="3" s="1"/>
  <c r="K21" i="3" s="1"/>
  <c r="L21" i="3" s="1"/>
  <c r="M21" i="3" s="1"/>
  <c r="N21" i="3" s="1"/>
  <c r="O21" i="3" s="1"/>
  <c r="P21" i="3" s="1"/>
  <c r="Q21" i="3" s="1"/>
  <c r="R21" i="3" s="1"/>
  <c r="S21" i="3" s="1"/>
  <c r="T21" i="3" s="1"/>
  <c r="U21" i="3" s="1"/>
  <c r="V21" i="3" s="1"/>
  <c r="W21" i="3" s="1"/>
  <c r="X21" i="3" s="1"/>
  <c r="Y21" i="3" s="1"/>
  <c r="Z21" i="3" l="1"/>
  <c r="AA21" i="3" s="1"/>
  <c r="AB21" i="3" s="1"/>
  <c r="AC21" i="3" s="1"/>
  <c r="AD21" i="3" s="1"/>
  <c r="AE21" i="3" s="1"/>
  <c r="AF21" i="3" s="1"/>
  <c r="AG21" i="3" s="1"/>
  <c r="AH21" i="3" s="1"/>
  <c r="AI21" i="3" s="1"/>
  <c r="AJ21" i="3" s="1"/>
  <c r="AK21" i="3" s="1"/>
  <c r="AL21" i="3" s="1"/>
  <c r="AM21" i="3" s="1"/>
  <c r="AN21" i="3" s="1"/>
  <c r="AO21" i="3" s="1"/>
  <c r="AP21" i="3" s="1"/>
  <c r="AQ21" i="3" s="1"/>
  <c r="AR21" i="3" s="1"/>
  <c r="AS21" i="3" s="1"/>
  <c r="AT21" i="3" s="1"/>
  <c r="AU21" i="3" s="1"/>
  <c r="AV21" i="3" s="1"/>
  <c r="AW21" i="3" s="1"/>
  <c r="H6" i="1" s="1"/>
  <c r="H14" i="1" l="1"/>
</calcChain>
</file>

<file path=xl/sharedStrings.xml><?xml version="1.0" encoding="utf-8"?>
<sst xmlns="http://schemas.openxmlformats.org/spreadsheetml/2006/main" count="88" uniqueCount="81">
  <si>
    <t>Provisioning</t>
  </si>
  <si>
    <t>Support Management</t>
  </si>
  <si>
    <t>Billing</t>
  </si>
  <si>
    <t>Contracts</t>
  </si>
  <si>
    <t>Web Interface</t>
  </si>
  <si>
    <t>Support Engineers</t>
  </si>
  <si>
    <t>Equipment</t>
  </si>
  <si>
    <t>Traning</t>
  </si>
  <si>
    <t>total infrastructure cost</t>
  </si>
  <si>
    <t>CSP Breakeven Calculator</t>
  </si>
  <si>
    <t>Monthly Per User Support Fees</t>
  </si>
  <si>
    <t>Maximum Assumed Support Engineer Capacity (in Users)</t>
  </si>
  <si>
    <t>Initial Onboarding Cost per User</t>
  </si>
  <si>
    <t>Onboarding &amp; Support Costs &amp; Fees</t>
  </si>
  <si>
    <t>Upfront Infrastructure Element Costs</t>
  </si>
  <si>
    <t>Direct</t>
  </si>
  <si>
    <t>Indirect</t>
  </si>
  <si>
    <t>Key Operating Ratios (Direct Only)</t>
  </si>
  <si>
    <t>Year 1</t>
  </si>
  <si>
    <t>Year 2</t>
  </si>
  <si>
    <t>Year 3</t>
  </si>
  <si>
    <t>Year 4</t>
  </si>
  <si>
    <t>User Add Assumptions</t>
  </si>
  <si>
    <t>Month</t>
  </si>
  <si>
    <t>Churn Assumption</t>
  </si>
  <si>
    <t>User Adds</t>
  </si>
  <si>
    <t>Total Users</t>
  </si>
  <si>
    <t>Direct Revenue</t>
  </si>
  <si>
    <t>Indirect Revenue</t>
  </si>
  <si>
    <t>Support Engineers (Direct)</t>
  </si>
  <si>
    <t>Upfront Costs (Direct)</t>
  </si>
  <si>
    <t>Upfront Costs (Indirect)</t>
  </si>
  <si>
    <t>Direct Onboarding Costs</t>
  </si>
  <si>
    <t>Indirect Onboarding Costs</t>
  </si>
  <si>
    <t>Direct Contribution Margin</t>
  </si>
  <si>
    <t>Indirect Contribution Margin</t>
  </si>
  <si>
    <t>Cumulative Direct Contribution Margin</t>
  </si>
  <si>
    <t>Cumulative Indirect Contribution Margin</t>
  </si>
  <si>
    <t>Support Engineer Costs (Direct Only)</t>
  </si>
  <si>
    <t>4-year Cumulative Contribution Margin (Direct)</t>
  </si>
  <si>
    <t>4-year Cumulative Contribution Margin (Indirect)</t>
  </si>
  <si>
    <t>Breakeven Month (Direct)</t>
  </si>
  <si>
    <t>Breakeven Month (Indirect)</t>
  </si>
  <si>
    <t>Annual Personnel Costs (Direct Only)</t>
  </si>
  <si>
    <t>Overview</t>
  </si>
  <si>
    <r>
      <t>·</t>
    </r>
    <r>
      <rPr>
        <sz val="7"/>
        <color theme="1"/>
        <rFont val="Times New Roman"/>
        <family val="1"/>
      </rPr>
      <t xml:space="preserve">         </t>
    </r>
    <r>
      <rPr>
        <sz val="11"/>
        <color theme="1"/>
        <rFont val="Segoe UI"/>
        <family val="2"/>
      </rPr>
      <t>The infrastructure elements they already had in place</t>
    </r>
  </si>
  <si>
    <r>
      <t>·</t>
    </r>
    <r>
      <rPr>
        <sz val="7"/>
        <color theme="1"/>
        <rFont val="Times New Roman"/>
        <family val="1"/>
      </rPr>
      <t xml:space="preserve">         </t>
    </r>
    <r>
      <rPr>
        <sz val="11"/>
        <color theme="1"/>
        <rFont val="Segoe UI"/>
        <family val="2"/>
      </rPr>
      <t>The incremental infrastructure elements they invested in to support their business as a Direct CSP provider</t>
    </r>
  </si>
  <si>
    <r>
      <t>·</t>
    </r>
    <r>
      <rPr>
        <sz val="7"/>
        <color theme="1"/>
        <rFont val="Times New Roman"/>
        <family val="1"/>
      </rPr>
      <t xml:space="preserve">         </t>
    </r>
    <r>
      <rPr>
        <sz val="11"/>
        <color theme="1"/>
        <rFont val="Segoe UI"/>
        <family val="2"/>
      </rPr>
      <t>The approximate magnitude of the investments made</t>
    </r>
  </si>
  <si>
    <r>
      <t>·</t>
    </r>
    <r>
      <rPr>
        <sz val="7"/>
        <color theme="1"/>
        <rFont val="Times New Roman"/>
        <family val="1"/>
      </rPr>
      <t xml:space="preserve">         </t>
    </r>
    <r>
      <rPr>
        <sz val="11"/>
        <color theme="1"/>
        <rFont val="Segoe UI"/>
        <family val="2"/>
      </rPr>
      <t>The rough level of end users they anticipate supporting, with that infrastructure</t>
    </r>
  </si>
  <si>
    <t>In order to better equip the Microsoft Partner ecosystem for success in the CSP Program, research was conducted among “early movers” to form a picture of the investments they have made as Direct CSP Providers, specifically:</t>
  </si>
  <si>
    <t>Because all of the Partners interviewed had been active in the Cloud for a time, all had robust and automated Office 365 provisioning systems in place. Some had been purpose-built by the Partner (especially those that had development expertise in-house), but where the Partner was a more recent entrant to the Cloud, automated tools like Skykick were being used.</t>
  </si>
  <si>
    <t>Whatever the case, automated provisioning was felt mandatory to rapidly migrate mailboxes in an error-free and cost-effective manner. The customer expects this to be low cost and hassle-free. As a general rule, initial provisioning was also completed with limited involvement of the customer’s internal IT department, which tended to delay migration and increase frustration.</t>
  </si>
  <si>
    <t>Support Ticketing &amp; Incident Management</t>
  </si>
  <si>
    <t>Some Partners operating at larger scales tended to also leverage RMM tools such as N-Able to remotely and proactively monitor customers’ networks and devices. They saw this capability as a differentiator.</t>
  </si>
  <si>
    <t>Finally, initiatives integrating support management with full-blown CRM were underway at some Partners, who felt this would strengthen both customer retention and new customer acquisition.</t>
  </si>
  <si>
    <t>As with support ticketing and management, there was also a considerable range in the degree of pre-existing infrastructure and automation, depending on operating scale. Several had constructed their own billing mechanisms, and were looking to leverage Microsoft SDK’s to automate their processes and reduce their costs. Others were using tools like Autotask, and looking to them to integrate with Microsoft API’s.</t>
  </si>
  <si>
    <t>For the most part, the Partners interviewed already had support contracts in place to govern their relationship with a customer. Where they did not, they were working to put them in place, but anticipated costs were modest relative to other needed infrastructure elements.</t>
  </si>
  <si>
    <t>This element had probably the widest variance in terms of how Partners structured their support offering. Again depending on anticipated scale, some felt that self-service portals were an integral part of their offering, and a key differentiator as well as a way of lowering the costs of service provision. Others relied far more heavily on “traditional” phone support, and consequently their business models were more labor-intensive. They also felt this “personal touch” a differentiator.</t>
  </si>
  <si>
    <t>There was also a wide variance among Partners interviewed in terms of the investments made in digital marketing. Those targeting significant customer acquisition have built substantial online demand generation capabilities, investing several hundred thousand dollars and more in some cases.</t>
  </si>
  <si>
    <t>Personnel</t>
  </si>
  <si>
    <t>All Partners interviewed had “staffed up” to support their CSP offering, even if they were historical managed service providers. All also had put dedicated management in place, or previously had it. The “minimum” support team felt needed was around 5, to deliver 24/7 support. At lower scales, however, off-hour support was provided by “stand-by” resources rather than full time employees.</t>
  </si>
  <si>
    <t>As earlier mentioned, the degree of support automation varied widely, as did consequently the number of seats a single support engineer could support. This ranged anywhere from 1,000 to 10,000.</t>
  </si>
  <si>
    <t>Training</t>
  </si>
  <si>
    <t>Unless the Partner was new to providing support, the incremental investment in training was modest. Largely, it centered on quickly onboarding new customers.</t>
  </si>
  <si>
    <t>As it concerns the end customer, however, some Partners have invested in “on demand” and web-based training for end users. As with other elements, this varied mostly according to the actual and anticipated scale of operation.</t>
  </si>
  <si>
    <t>Laptops, phones, and Skype for Business were the most common “base” configuration for support delivery, but those operating at greater scale had also made investments in EPABX and other switching technology.</t>
  </si>
  <si>
    <t xml:space="preserve">Because of the widely varying operating scales, the investments made by Direct CSP providers had a significant range, from around $200k to in some cases $5m or more. </t>
  </si>
  <si>
    <t>The intent was to produce straight-forward guidance for Partners, as well as a simple breakeven calculator for them to input their expected costs (based on this research) and their expected customer base and revenues, so they can conduct a “break-even” analysis to decide whether Direct or Indirect CSP status represents the best business decision for them.</t>
  </si>
  <si>
    <t>Most of the Direct Partners interviewed historically provided some form of ongoing support to their customers, whether internal IT departments or end users. Consequently, they had pre-existing systems in place that logged support incidents, tracked their resolutions, and provided needed reporting to customers.</t>
  </si>
  <si>
    <r>
      <t>Many of these systems were internally developed, and maintained, but 3</t>
    </r>
    <r>
      <rPr>
        <vertAlign val="superscript"/>
        <sz val="11"/>
        <color theme="1"/>
        <rFont val="Segoe UI"/>
        <family val="2"/>
      </rPr>
      <t>rd</t>
    </r>
    <r>
      <rPr>
        <sz val="11"/>
        <color theme="1"/>
        <rFont val="Segoe UI"/>
        <family val="2"/>
      </rPr>
      <t xml:space="preserve"> party solutions like Odin were also deployed. The general sense, though, was that these solutions were costly and many felt they did not afford meaningful differentiation. Where tools like Odin were incorporated into a Partner’s infrastructure, it was largely by those anticipating significant scale, and providing unique value-adds on top of “basic” support, such as license counselling. There was also a sentiment that because 3rd party tools were multi-platform, certain functionality was redundant for Partner basing their offering solely on the Microsoft stack.</t>
    </r>
  </si>
  <si>
    <t>Users</t>
  </si>
  <si>
    <t>Recommendation – identify anticipated user adds over the next 4 years, and enter these values in cells C28 through F28. Then identify needed internal development costs or partner with 3rd. party automated tool providers to onboard new customers. Quantify both upfront investments needed as well as per-user onboarding costs. Enter these assumptions into the Breakeven Calculator tab, in cells E6, F6, E17, and F17, if different from the base case assumptions. (Note that if you are an Indirect CSP Partner, your infrastructure costs will likley be 0, since this function is performed by a Disti or other Partner).</t>
  </si>
  <si>
    <t>Recommendation – based on current support infrastructure and customer base served, identify incremental development costs needed, or select a 3rd. party platform. Quantify the likely per-user fee you will be able to charge. Enter these assumptions into the Breakeven Calculator tab, in cells E7, F7, E18, and F18, if different from the base case assumptions. (Note that if you are an Indirect CSP Partner, your infrastructure costs will likley be 0, since this function is performed by a Disti or other Partner).</t>
  </si>
  <si>
    <t>Recommendation – identify needed internal development costs to automate and integrate billing and customer reporting with Microsoft API’s, or select a 3rd. party platform that does this. Enter these assumptions into the Breakeven Calculator tab, in cells E8 and F8, if different from the base case assumptions. (Note that if you are an Indirect CSP Partner, your infrastructure costs will likley be 0, since this function is performed by a Disti or other Partner).</t>
  </si>
  <si>
    <t>Recommendation – ensure contracts are in place that provide for the SLA’s needed by your customer base, and that are supported by your overall support infrastructure. Enter these assumptions into the Breakeven Calculator tab, in cells E9 and F9, if different from the base case assumptions. (Note that if you are an Indirect CSP Partner, your infrastructure costs will likley be 0, since this function is performed by a Disti or other Partner).</t>
  </si>
  <si>
    <t>Recommendation – depending on anticipated scale and customer base served, determine the incremental costs associated with providing adequate levels of self-service. Do not overlook your needed capacity for digital demand generation. Enter these assumptions into the Breakeven Calculator tab, in cells E10 and F10, if different from the base case assumptions. (Note that if you are an Indirect CSP Partner, your infrastructure costs will likley be relatively, since the bulk of this function is performed by a Disti or other Partner).</t>
  </si>
  <si>
    <t>Recommendation – depending on your anticipated support infrastructure, quantify the maximum number of users a support engineer could support within the SLA’s you’ve defined. Quantify the loaded costs associated with support engineers. Enter these assumptions into the Breakeven Calculator tab, in cells F21 and F24, if different from the base case assumptions. (Note that if you are an Indirect CSP Partner, this function is performed by a Disti or other Partner).</t>
  </si>
  <si>
    <t>Recommendation – identify any likely needed equipment costs. Enter these assumptions into the Breakeven Calculator tab, in cells E11 and F11, if different from the base case assumptions. (Note that if you are an Indirect CSP Partner, your incremental equipment costs will likely be 0).</t>
  </si>
  <si>
    <t>Recommendation – based on existing and anticipated staff complement as well as the degree of end-user training infrastructure desired, determine your probable training costs. Enter these assumptions into the Breakeven Calculator tab, in cells E12 and F12, if different from the base case assumptions. (Note that if you are an Indirect CSP Partner, your incremental training costs will likely be minimal).</t>
  </si>
  <si>
    <t>Introduction</t>
  </si>
  <si>
    <t>NIST Assist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</si>
</sst>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0.0"/>
  </numFmts>
  <fonts count="17" x14ac:knownFonts="1">
    <font>
      <sz val="11"/>
      <color theme="1"/>
      <name val="Calibri"/>
      <family val="2"/>
      <scheme val="minor"/>
    </font>
    <font>
      <sz val="11"/>
      <color theme="1"/>
      <name val="Calibri"/>
      <family val="2"/>
      <scheme val="minor"/>
    </font>
    <font>
      <sz val="11"/>
      <color theme="1"/>
      <name val="Segoe UI"/>
      <family val="2"/>
    </font>
    <font>
      <sz val="11"/>
      <color rgb="FFFF0000"/>
      <name val="Segoe UI"/>
      <family val="2"/>
    </font>
    <font>
      <b/>
      <sz val="11"/>
      <color theme="1"/>
      <name val="Segoe UI"/>
      <family val="2"/>
    </font>
    <font>
      <b/>
      <sz val="12"/>
      <color theme="0"/>
      <name val="Segoe UI"/>
      <family val="2"/>
    </font>
    <font>
      <b/>
      <sz val="11"/>
      <color theme="0"/>
      <name val="Segoe UI"/>
      <family val="2"/>
    </font>
    <font>
      <b/>
      <sz val="11"/>
      <name val="Segoe UI"/>
      <family val="2"/>
    </font>
    <font>
      <sz val="11"/>
      <name val="Segoe UI"/>
      <family val="2"/>
    </font>
    <font>
      <b/>
      <sz val="11"/>
      <color theme="1"/>
      <name val="Calibri"/>
      <family val="2"/>
      <scheme val="minor"/>
    </font>
    <font>
      <sz val="11"/>
      <color theme="1"/>
      <name val="Symbol"/>
      <family val="1"/>
      <charset val="2"/>
    </font>
    <font>
      <sz val="7"/>
      <color theme="1"/>
      <name val="Times New Roman"/>
      <family val="1"/>
    </font>
    <font>
      <vertAlign val="superscript"/>
      <sz val="11"/>
      <color theme="1"/>
      <name val="Segoe UI"/>
      <family val="2"/>
    </font>
    <font>
      <b/>
      <i/>
      <sz val="11"/>
      <color theme="4" tint="-0.499984740745262"/>
      <name val="Segoe UI"/>
      <family val="2"/>
    </font>
    <font>
      <b/>
      <sz val="16"/>
      <name val="Segoe UI"/>
      <family val="2"/>
    </font>
    <font>
      <sz val="28"/>
      <color theme="1"/>
      <name val="Calibri"/>
      <family val="2"/>
      <scheme val="minor"/>
    </font>
    <font>
      <sz val="24"/>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1"/>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74">
    <xf numFmtId="0" fontId="0" fillId="0" borderId="0" xfId="0"/>
    <xf numFmtId="0" fontId="0" fillId="0" borderId="0" xfId="0" applyAlignment="1">
      <alignment horizontal="center"/>
    </xf>
    <xf numFmtId="164" fontId="0" fillId="0" borderId="0" xfId="0" applyNumberFormat="1" applyAlignment="1">
      <alignment horizontal="center"/>
    </xf>
    <xf numFmtId="0" fontId="2" fillId="0" borderId="0" xfId="0" applyFont="1"/>
    <xf numFmtId="0" fontId="2" fillId="0" borderId="0" xfId="0" applyFont="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0" fontId="2" fillId="0" borderId="8" xfId="0" applyFont="1" applyBorder="1"/>
    <xf numFmtId="0" fontId="2" fillId="0" borderId="1" xfId="0" applyFont="1" applyBorder="1" applyAlignment="1">
      <alignment horizontal="right"/>
    </xf>
    <xf numFmtId="164" fontId="2" fillId="0" borderId="10" xfId="0" applyNumberFormat="1" applyFont="1" applyBorder="1" applyAlignment="1">
      <alignment horizontal="center"/>
    </xf>
    <xf numFmtId="0" fontId="2" fillId="0" borderId="0" xfId="0" applyFont="1" applyAlignment="1">
      <alignment horizontal="left"/>
    </xf>
    <xf numFmtId="0" fontId="2" fillId="0" borderId="11" xfId="0" applyFont="1" applyBorder="1"/>
    <xf numFmtId="0" fontId="2" fillId="0" borderId="1" xfId="0" applyFont="1" applyBorder="1"/>
    <xf numFmtId="0" fontId="6" fillId="0" borderId="8" xfId="0" applyFont="1" applyBorder="1" applyAlignment="1">
      <alignment horizontal="center"/>
    </xf>
    <xf numFmtId="0" fontId="7" fillId="0" borderId="0" xfId="0" applyFont="1" applyAlignment="1">
      <alignment horizontal="center"/>
    </xf>
    <xf numFmtId="0" fontId="8" fillId="0" borderId="0" xfId="0" applyFont="1" applyAlignment="1">
      <alignment horizontal="left"/>
    </xf>
    <xf numFmtId="0" fontId="7" fillId="0" borderId="8" xfId="0" applyFont="1" applyBorder="1" applyAlignment="1">
      <alignment horizontal="center"/>
    </xf>
    <xf numFmtId="0" fontId="8" fillId="0" borderId="0" xfId="0" applyFont="1"/>
    <xf numFmtId="0" fontId="4" fillId="0" borderId="0" xfId="0" applyFont="1" applyAlignment="1">
      <alignment horizontal="center" vertical="center"/>
    </xf>
    <xf numFmtId="166" fontId="0" fillId="0" borderId="0" xfId="0" applyNumberFormat="1" applyAlignment="1">
      <alignment horizontal="center"/>
    </xf>
    <xf numFmtId="0" fontId="0" fillId="0" borderId="0" xfId="0" applyAlignment="1">
      <alignment horizontal="left"/>
    </xf>
    <xf numFmtId="0" fontId="9" fillId="0" borderId="0" xfId="0" applyFont="1" applyAlignment="1">
      <alignment horizontal="left"/>
    </xf>
    <xf numFmtId="0" fontId="9" fillId="0" borderId="0" xfId="0" applyFont="1" applyAlignment="1">
      <alignment horizontal="center"/>
    </xf>
    <xf numFmtId="0" fontId="4" fillId="0" borderId="9" xfId="0" applyFont="1" applyBorder="1" applyAlignment="1">
      <alignment horizontal="center" vertical="center"/>
    </xf>
    <xf numFmtId="0" fontId="6" fillId="3" borderId="5" xfId="0" applyFont="1" applyFill="1" applyBorder="1"/>
    <xf numFmtId="0" fontId="6" fillId="3" borderId="6" xfId="0" applyFont="1" applyFill="1" applyBorder="1"/>
    <xf numFmtId="0" fontId="6" fillId="3" borderId="7" xfId="0" applyFont="1" applyFill="1" applyBorder="1"/>
    <xf numFmtId="164" fontId="2" fillId="0" borderId="1" xfId="0" applyNumberFormat="1" applyFont="1" applyBorder="1" applyAlignment="1">
      <alignment horizontal="center"/>
    </xf>
    <xf numFmtId="0" fontId="6" fillId="0" borderId="0" xfId="0" applyFont="1"/>
    <xf numFmtId="0" fontId="4" fillId="0" borderId="0" xfId="0" applyFont="1" applyAlignment="1">
      <alignment horizontal="center"/>
    </xf>
    <xf numFmtId="0" fontId="4" fillId="0" borderId="9" xfId="0" applyFont="1" applyBorder="1" applyAlignment="1">
      <alignment horizontal="center"/>
    </xf>
    <xf numFmtId="0" fontId="2" fillId="0" borderId="0" xfId="0" applyFont="1" applyAlignment="1">
      <alignment vertical="center" wrapText="1"/>
    </xf>
    <xf numFmtId="0" fontId="10" fillId="0" borderId="0" xfId="0" applyFont="1" applyAlignment="1">
      <alignment horizontal="left" vertical="center" wrapText="1"/>
    </xf>
    <xf numFmtId="0" fontId="13" fillId="0" borderId="0" xfId="0" applyFont="1" applyAlignment="1">
      <alignment vertical="center" wrapText="1"/>
    </xf>
    <xf numFmtId="0" fontId="13" fillId="0" borderId="0" xfId="0" applyFont="1"/>
    <xf numFmtId="0" fontId="14" fillId="0" borderId="0" xfId="0" applyFont="1" applyAlignment="1">
      <alignment vertical="center"/>
    </xf>
    <xf numFmtId="0" fontId="14" fillId="0" borderId="0" xfId="0" applyFont="1" applyAlignment="1">
      <alignment vertical="center" wrapText="1"/>
    </xf>
    <xf numFmtId="0" fontId="0" fillId="0" borderId="0" xfId="0" applyAlignment="1">
      <alignment horizontal="right"/>
    </xf>
    <xf numFmtId="1" fontId="0" fillId="0" borderId="0" xfId="0" applyNumberFormat="1" applyAlignment="1">
      <alignment horizontal="center"/>
    </xf>
    <xf numFmtId="164" fontId="3" fillId="0" borderId="0" xfId="0" applyNumberFormat="1" applyFont="1" applyAlignment="1" applyProtection="1">
      <alignment horizontal="center"/>
      <protection locked="0"/>
    </xf>
    <xf numFmtId="164" fontId="3" fillId="0" borderId="9" xfId="0" applyNumberFormat="1" applyFont="1" applyBorder="1" applyAlignment="1" applyProtection="1">
      <alignment horizontal="center"/>
      <protection locked="0"/>
    </xf>
    <xf numFmtId="164" fontId="3" fillId="0" borderId="1" xfId="0" applyNumberFormat="1" applyFont="1" applyBorder="1" applyAlignment="1" applyProtection="1">
      <alignment horizontal="center"/>
      <protection locked="0"/>
    </xf>
    <xf numFmtId="164" fontId="3" fillId="0" borderId="10" xfId="0" applyNumberFormat="1" applyFont="1" applyBorder="1" applyAlignment="1" applyProtection="1">
      <alignment horizontal="center"/>
      <protection locked="0"/>
    </xf>
    <xf numFmtId="165" fontId="3" fillId="0" borderId="0" xfId="0" applyNumberFormat="1" applyFont="1" applyAlignment="1" applyProtection="1">
      <alignment horizontal="center"/>
      <protection locked="0"/>
    </xf>
    <xf numFmtId="165" fontId="3" fillId="0" borderId="9" xfId="0" applyNumberFormat="1"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165" fontId="3" fillId="0" borderId="10" xfId="0" applyNumberFormat="1" applyFont="1" applyBorder="1" applyAlignment="1" applyProtection="1">
      <alignment horizontal="center"/>
      <protection locked="0"/>
    </xf>
    <xf numFmtId="3" fontId="3" fillId="0" borderId="10" xfId="0" applyNumberFormat="1" applyFont="1" applyBorder="1" applyAlignment="1" applyProtection="1">
      <alignment horizontal="center" vertical="center"/>
      <protection locked="0"/>
    </xf>
    <xf numFmtId="9" fontId="3" fillId="0" borderId="4" xfId="1"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15" fillId="0" borderId="0" xfId="0" applyFont="1"/>
    <xf numFmtId="0" fontId="16" fillId="0" borderId="0" xfId="0" applyFont="1"/>
    <xf numFmtId="0" fontId="2" fillId="0" borderId="1" xfId="0" applyFont="1" applyBorder="1" applyAlignment="1">
      <alignment horizontal="left" vertical="center" wrapText="1"/>
    </xf>
    <xf numFmtId="0" fontId="5" fillId="2" borderId="0" xfId="0" applyFont="1" applyFill="1" applyAlignment="1">
      <alignment horizontal="center" vertical="center"/>
    </xf>
    <xf numFmtId="0" fontId="6" fillId="3" borderId="5" xfId="0" applyFont="1" applyFill="1" applyBorder="1" applyAlignment="1">
      <alignment horizontal="center"/>
    </xf>
    <xf numFmtId="0" fontId="6" fillId="3" borderId="6" xfId="0" applyFont="1" applyFill="1" applyBorder="1" applyAlignment="1">
      <alignment horizontal="center"/>
    </xf>
    <xf numFmtId="0" fontId="6" fillId="3" borderId="7"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5" xfId="0" applyFont="1" applyFill="1" applyBorder="1" applyAlignment="1">
      <alignment horizontal="center" wrapText="1"/>
    </xf>
    <xf numFmtId="0" fontId="6" fillId="3" borderId="7" xfId="0" applyFont="1" applyFill="1" applyBorder="1" applyAlignment="1">
      <alignment horizontal="center" wrapText="1"/>
    </xf>
    <xf numFmtId="0" fontId="6" fillId="3" borderId="8" xfId="0" applyFont="1" applyFill="1" applyBorder="1" applyAlignment="1">
      <alignment horizontal="center" wrapText="1"/>
    </xf>
    <xf numFmtId="0" fontId="6" fillId="3" borderId="9" xfId="0" applyFont="1" applyFill="1" applyBorder="1" applyAlignment="1">
      <alignment horizontal="center" wrapText="1"/>
    </xf>
    <xf numFmtId="164" fontId="2" fillId="4" borderId="11" xfId="0" applyNumberFormat="1" applyFont="1" applyFill="1" applyBorder="1" applyAlignment="1">
      <alignment horizontal="center"/>
    </xf>
    <xf numFmtId="164" fontId="2" fillId="4" borderId="10" xfId="0" applyNumberFormat="1" applyFont="1" applyFill="1" applyBorder="1" applyAlignment="1">
      <alignment horizontal="center"/>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0"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b="1">
                <a:latin typeface="Segoe UI" panose="020B0502040204020203" pitchFamily="34" charset="0"/>
                <a:cs typeface="Segoe UI" panose="020B0502040204020203" pitchFamily="34" charset="0"/>
              </a:rPr>
              <a:t>Support Contribution Margin Analysis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lotArea>
      <c:layout/>
      <c:lineChart>
        <c:grouping val="standard"/>
        <c:varyColors val="0"/>
        <c:ser>
          <c:idx val="0"/>
          <c:order val="0"/>
          <c:tx>
            <c:strRef>
              <c:f>'Detailed Calculations'!$A$21</c:f>
              <c:strCache>
                <c:ptCount val="1"/>
                <c:pt idx="0">
                  <c:v>Cumulative Direct Contribution Margin</c:v>
                </c:pt>
              </c:strCache>
            </c:strRef>
          </c:tx>
          <c:spPr>
            <a:ln w="28575" cap="rnd">
              <a:solidFill>
                <a:schemeClr val="accent1"/>
              </a:solidFill>
              <a:round/>
            </a:ln>
            <a:effectLst/>
          </c:spPr>
          <c:marker>
            <c:symbol val="none"/>
          </c:marker>
          <c:cat>
            <c:numRef>
              <c:f>'Detailed Calculations'!$B$2:$AW$2</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cat>
          <c:val>
            <c:numRef>
              <c:f>'Detailed Calculations'!$B$21:$AW$21</c:f>
              <c:numCache>
                <c:formatCode>"$"#,##0</c:formatCode>
                <c:ptCount val="48"/>
                <c:pt idx="0">
                  <c:v>-239833.33333333334</c:v>
                </c:pt>
                <c:pt idx="1">
                  <c:v>-243166.66666666669</c:v>
                </c:pt>
                <c:pt idx="2">
                  <c:v>-245000.00000000003</c:v>
                </c:pt>
                <c:pt idx="3">
                  <c:v>-245333.33333333337</c:v>
                </c:pt>
                <c:pt idx="4">
                  <c:v>-244166.66666666672</c:v>
                </c:pt>
                <c:pt idx="5">
                  <c:v>-241500.00000000006</c:v>
                </c:pt>
                <c:pt idx="6">
                  <c:v>-237333.3333333334</c:v>
                </c:pt>
                <c:pt idx="7">
                  <c:v>-231666.66666666674</c:v>
                </c:pt>
                <c:pt idx="8">
                  <c:v>-224500.00000000009</c:v>
                </c:pt>
                <c:pt idx="9">
                  <c:v>-215833.33333333343</c:v>
                </c:pt>
                <c:pt idx="10">
                  <c:v>-205666.66666666677</c:v>
                </c:pt>
                <c:pt idx="11">
                  <c:v>-194000.00000000012</c:v>
                </c:pt>
                <c:pt idx="12">
                  <c:v>-180908.33333333346</c:v>
                </c:pt>
                <c:pt idx="13">
                  <c:v>-166391.6666666668</c:v>
                </c:pt>
                <c:pt idx="14">
                  <c:v>-150450.00000000015</c:v>
                </c:pt>
                <c:pt idx="15">
                  <c:v>-133083.33333333349</c:v>
                </c:pt>
                <c:pt idx="16">
                  <c:v>-114291.66666666683</c:v>
                </c:pt>
                <c:pt idx="17">
                  <c:v>-94075.00000000016</c:v>
                </c:pt>
                <c:pt idx="18">
                  <c:v>-72433.333333333489</c:v>
                </c:pt>
                <c:pt idx="19">
                  <c:v>-49366.666666666817</c:v>
                </c:pt>
                <c:pt idx="20">
                  <c:v>-24875.000000000138</c:v>
                </c:pt>
                <c:pt idx="21">
                  <c:v>1041.6666666665442</c:v>
                </c:pt>
                <c:pt idx="22">
                  <c:v>28383.333333333227</c:v>
                </c:pt>
                <c:pt idx="23">
                  <c:v>57149.999999999913</c:v>
                </c:pt>
                <c:pt idx="24">
                  <c:v>82341.666666666599</c:v>
                </c:pt>
                <c:pt idx="25">
                  <c:v>108958.33333333328</c:v>
                </c:pt>
                <c:pt idx="26">
                  <c:v>136999.99999999997</c:v>
                </c:pt>
                <c:pt idx="27">
                  <c:v>166466.66666666669</c:v>
                </c:pt>
                <c:pt idx="28">
                  <c:v>197358.33333333337</c:v>
                </c:pt>
                <c:pt idx="29">
                  <c:v>229675.00000000009</c:v>
                </c:pt>
                <c:pt idx="30">
                  <c:v>263416.6666666668</c:v>
                </c:pt>
                <c:pt idx="31">
                  <c:v>298583.33333333349</c:v>
                </c:pt>
                <c:pt idx="32">
                  <c:v>335175.00000000017</c:v>
                </c:pt>
                <c:pt idx="33">
                  <c:v>373191.66666666686</c:v>
                </c:pt>
                <c:pt idx="34">
                  <c:v>412633.33333333355</c:v>
                </c:pt>
                <c:pt idx="35">
                  <c:v>453500.00000000023</c:v>
                </c:pt>
                <c:pt idx="36">
                  <c:v>495791.66666666692</c:v>
                </c:pt>
                <c:pt idx="37">
                  <c:v>539508.3333333336</c:v>
                </c:pt>
                <c:pt idx="38">
                  <c:v>584650.00000000023</c:v>
                </c:pt>
                <c:pt idx="39">
                  <c:v>631216.66666666686</c:v>
                </c:pt>
                <c:pt idx="40">
                  <c:v>679208.33333333349</c:v>
                </c:pt>
                <c:pt idx="41">
                  <c:v>728625.00000000012</c:v>
                </c:pt>
                <c:pt idx="42">
                  <c:v>779466.66666666674</c:v>
                </c:pt>
                <c:pt idx="43">
                  <c:v>831733.33333333337</c:v>
                </c:pt>
                <c:pt idx="44">
                  <c:v>885425</c:v>
                </c:pt>
                <c:pt idx="45">
                  <c:v>940541.66666666663</c:v>
                </c:pt>
                <c:pt idx="46">
                  <c:v>997083.33333333326</c:v>
                </c:pt>
                <c:pt idx="47">
                  <c:v>1055049.9999999998</c:v>
                </c:pt>
              </c:numCache>
            </c:numRef>
          </c:val>
          <c:smooth val="0"/>
          <c:extLst>
            <c:ext xmlns:c16="http://schemas.microsoft.com/office/drawing/2014/chart" uri="{C3380CC4-5D6E-409C-BE32-E72D297353CC}">
              <c16:uniqueId val="{00000000-62D7-4234-9B11-43354C3BFA41}"/>
            </c:ext>
          </c:extLst>
        </c:ser>
        <c:ser>
          <c:idx val="1"/>
          <c:order val="1"/>
          <c:tx>
            <c:strRef>
              <c:f>'Detailed Calculations'!$A$24</c:f>
              <c:strCache>
                <c:ptCount val="1"/>
                <c:pt idx="0">
                  <c:v>Cumulative Indirect Contribution Margin</c:v>
                </c:pt>
              </c:strCache>
            </c:strRef>
          </c:tx>
          <c:spPr>
            <a:ln w="28575" cap="rnd">
              <a:solidFill>
                <a:schemeClr val="accent2"/>
              </a:solidFill>
              <a:round/>
            </a:ln>
            <a:effectLst/>
          </c:spPr>
          <c:marker>
            <c:symbol val="none"/>
          </c:marker>
          <c:cat>
            <c:numRef>
              <c:f>'Detailed Calculations'!$B$2:$AW$2</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cat>
          <c:val>
            <c:numRef>
              <c:f>'Detailed Calculations'!$B$24:$AW$24</c:f>
              <c:numCache>
                <c:formatCode>"$"#,##0</c:formatCode>
                <c:ptCount val="48"/>
                <c:pt idx="0">
                  <c:v>-2941.666666666667</c:v>
                </c:pt>
                <c:pt idx="1">
                  <c:v>-3158.3333333333335</c:v>
                </c:pt>
                <c:pt idx="2">
                  <c:v>-3150</c:v>
                </c:pt>
                <c:pt idx="3">
                  <c:v>-2916.6666666666665</c:v>
                </c:pt>
                <c:pt idx="4">
                  <c:v>-2458.333333333333</c:v>
                </c:pt>
                <c:pt idx="5">
                  <c:v>-1774.9999999999995</c:v>
                </c:pt>
                <c:pt idx="6">
                  <c:v>-866.66666666666606</c:v>
                </c:pt>
                <c:pt idx="7">
                  <c:v>266.66666666666742</c:v>
                </c:pt>
                <c:pt idx="8">
                  <c:v>1625.0000000000007</c:v>
                </c:pt>
                <c:pt idx="9">
                  <c:v>3208.3333333333339</c:v>
                </c:pt>
                <c:pt idx="10">
                  <c:v>5016.666666666667</c:v>
                </c:pt>
                <c:pt idx="11">
                  <c:v>7050</c:v>
                </c:pt>
                <c:pt idx="12">
                  <c:v>9297.0833333333321</c:v>
                </c:pt>
                <c:pt idx="13">
                  <c:v>11757.916666666664</c:v>
                </c:pt>
                <c:pt idx="14">
                  <c:v>14432.499999999996</c:v>
                </c:pt>
                <c:pt idx="15">
                  <c:v>17320.833333333328</c:v>
                </c:pt>
                <c:pt idx="16">
                  <c:v>20422.916666666661</c:v>
                </c:pt>
                <c:pt idx="17">
                  <c:v>23738.749999999993</c:v>
                </c:pt>
                <c:pt idx="18">
                  <c:v>27268.333333333328</c:v>
                </c:pt>
                <c:pt idx="19">
                  <c:v>31011.666666666664</c:v>
                </c:pt>
                <c:pt idx="20">
                  <c:v>34968.75</c:v>
                </c:pt>
                <c:pt idx="21">
                  <c:v>39139.583333333336</c:v>
                </c:pt>
                <c:pt idx="22">
                  <c:v>43524.166666666672</c:v>
                </c:pt>
                <c:pt idx="23">
                  <c:v>48122.500000000007</c:v>
                </c:pt>
                <c:pt idx="24">
                  <c:v>52934.583333333343</c:v>
                </c:pt>
                <c:pt idx="25">
                  <c:v>57960.416666666679</c:v>
                </c:pt>
                <c:pt idx="26">
                  <c:v>63200.000000000015</c:v>
                </c:pt>
                <c:pt idx="27">
                  <c:v>68653.333333333358</c:v>
                </c:pt>
                <c:pt idx="28">
                  <c:v>74320.416666666701</c:v>
                </c:pt>
                <c:pt idx="29">
                  <c:v>80201.250000000044</c:v>
                </c:pt>
                <c:pt idx="30">
                  <c:v>86295.833333333387</c:v>
                </c:pt>
                <c:pt idx="31">
                  <c:v>92604.16666666673</c:v>
                </c:pt>
                <c:pt idx="32">
                  <c:v>99126.250000000073</c:v>
                </c:pt>
                <c:pt idx="33">
                  <c:v>105862.08333333342</c:v>
                </c:pt>
                <c:pt idx="34">
                  <c:v>112811.66666666674</c:v>
                </c:pt>
                <c:pt idx="35">
                  <c:v>119975.00000000007</c:v>
                </c:pt>
                <c:pt idx="36">
                  <c:v>127352.0833333334</c:v>
                </c:pt>
                <c:pt idx="37">
                  <c:v>134942.91666666674</c:v>
                </c:pt>
                <c:pt idx="38">
                  <c:v>142747.50000000009</c:v>
                </c:pt>
                <c:pt idx="39">
                  <c:v>150765.83333333343</c:v>
                </c:pt>
                <c:pt idx="40">
                  <c:v>158997.91666666677</c:v>
                </c:pt>
                <c:pt idx="41">
                  <c:v>167443.75000000012</c:v>
                </c:pt>
                <c:pt idx="42">
                  <c:v>176103.33333333343</c:v>
                </c:pt>
                <c:pt idx="43">
                  <c:v>184976.66666666674</c:v>
                </c:pt>
                <c:pt idx="44">
                  <c:v>194063.75000000006</c:v>
                </c:pt>
                <c:pt idx="45">
                  <c:v>203364.58333333337</c:v>
                </c:pt>
                <c:pt idx="46">
                  <c:v>212879.16666666669</c:v>
                </c:pt>
                <c:pt idx="47">
                  <c:v>222607.5</c:v>
                </c:pt>
              </c:numCache>
            </c:numRef>
          </c:val>
          <c:smooth val="0"/>
          <c:extLst>
            <c:ext xmlns:c16="http://schemas.microsoft.com/office/drawing/2014/chart" uri="{C3380CC4-5D6E-409C-BE32-E72D297353CC}">
              <c16:uniqueId val="{00000001-62D7-4234-9B11-43354C3BFA41}"/>
            </c:ext>
          </c:extLst>
        </c:ser>
        <c:dLbls>
          <c:showLegendKey val="0"/>
          <c:showVal val="0"/>
          <c:showCatName val="0"/>
          <c:showSerName val="0"/>
          <c:showPercent val="0"/>
          <c:showBubbleSize val="0"/>
        </c:dLbls>
        <c:smooth val="0"/>
        <c:axId val="410543856"/>
        <c:axId val="410537976"/>
      </c:lineChart>
      <c:catAx>
        <c:axId val="4105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a:latin typeface="Segoe UI" panose="020B0502040204020203" pitchFamily="34" charset="0"/>
                    <a:cs typeface="Segoe UI" panose="020B0502040204020203" pitchFamily="34" charset="0"/>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37976"/>
        <c:crosses val="autoZero"/>
        <c:auto val="1"/>
        <c:lblAlgn val="ctr"/>
        <c:lblOffset val="100"/>
        <c:noMultiLvlLbl val="0"/>
      </c:catAx>
      <c:valAx>
        <c:axId val="410537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410543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Users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'Detailed Calculations'!$A$27</c:f>
              <c:strCache>
                <c:ptCount val="1"/>
                <c:pt idx="0">
                  <c:v>Users</c:v>
                </c:pt>
              </c:strCache>
            </c:strRef>
          </c:tx>
          <c:spPr>
            <a:solidFill>
              <a:schemeClr val="accent1"/>
            </a:solidFill>
            <a:ln>
              <a:noFill/>
            </a:ln>
            <a:effectLst/>
          </c:spPr>
          <c:invertIfNegative val="0"/>
          <c:cat>
            <c:numRef>
              <c:f>'Detailed Calculations'!$B$26:$E$26</c:f>
              <c:numCache>
                <c:formatCode>General</c:formatCode>
                <c:ptCount val="4"/>
                <c:pt idx="0">
                  <c:v>1</c:v>
                </c:pt>
                <c:pt idx="1">
                  <c:v>2</c:v>
                </c:pt>
                <c:pt idx="2">
                  <c:v>3</c:v>
                </c:pt>
                <c:pt idx="3">
                  <c:v>4</c:v>
                </c:pt>
              </c:numCache>
            </c:numRef>
          </c:cat>
          <c:val>
            <c:numRef>
              <c:f>'Detailed Calculations'!$B$27:$E$27</c:f>
              <c:numCache>
                <c:formatCode>0</c:formatCode>
                <c:ptCount val="4"/>
                <c:pt idx="0">
                  <c:v>399.99999999999994</c:v>
                </c:pt>
                <c:pt idx="1">
                  <c:v>780.00000000000045</c:v>
                </c:pt>
                <c:pt idx="2">
                  <c:v>1160.0000000000002</c:v>
                </c:pt>
                <c:pt idx="3">
                  <c:v>1539.9999999999984</c:v>
                </c:pt>
              </c:numCache>
            </c:numRef>
          </c:val>
          <c:extLst>
            <c:ext xmlns:c16="http://schemas.microsoft.com/office/drawing/2014/chart" uri="{C3380CC4-5D6E-409C-BE32-E72D297353CC}">
              <c16:uniqueId val="{00000000-31F0-4DC9-90E4-782F2E8F86EF}"/>
            </c:ext>
          </c:extLst>
        </c:ser>
        <c:dLbls>
          <c:showLegendKey val="0"/>
          <c:showVal val="0"/>
          <c:showCatName val="0"/>
          <c:showSerName val="0"/>
          <c:showPercent val="0"/>
          <c:showBubbleSize val="0"/>
        </c:dLbls>
        <c:gapWidth val="182"/>
        <c:axId val="410540328"/>
        <c:axId val="409541936"/>
      </c:barChart>
      <c:catAx>
        <c:axId val="410540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409541936"/>
        <c:crosses val="autoZero"/>
        <c:auto val="1"/>
        <c:lblAlgn val="ctr"/>
        <c:lblOffset val="100"/>
        <c:noMultiLvlLbl val="0"/>
      </c:catAx>
      <c:valAx>
        <c:axId val="409541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410540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285749</xdr:colOff>
      <xdr:row>1</xdr:row>
      <xdr:rowOff>59531</xdr:rowOff>
    </xdr:from>
    <xdr:to>
      <xdr:col>19</xdr:col>
      <xdr:colOff>190499</xdr:colOff>
      <xdr:row>27</xdr:row>
      <xdr:rowOff>142873</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178593</xdr:colOff>
      <xdr:row>20</xdr:row>
      <xdr:rowOff>95250</xdr:rowOff>
    </xdr:from>
    <xdr:ext cx="2547938" cy="2750345"/>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679156" y="3821906"/>
          <a:ext cx="2547938" cy="27503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mn-lt"/>
              <a:ea typeface="+mn-ea"/>
              <a:cs typeface="+mn-cs"/>
            </a:rPr>
            <a:t>The financial models and statements contained herein are provided to you for illustrative purposes only, and should not be considered or relied upon as the actual or potential income, sales, profits, or earnings which you will realize, in whole or in part, as a result of deployment of Microsoft products and technologies. Some of the assumptions and figures provided are based on partner interviews, which you may find useful in assessing your own numbers. MICROSOFT MAKES NO WARRANTIES, EXPRESS, IMPLIED OR STATUTORY, AS TO THE INFORMATION IN THIS DOCUMENT.</a:t>
          </a:r>
          <a:endParaRPr lang="en-CA" sz="1000">
            <a:effectLst/>
          </a:endParaRPr>
        </a:p>
      </xdr:txBody>
    </xdr:sp>
    <xdr:clientData/>
  </xdr:oneCellAnchor>
  <xdr:twoCellAnchor>
    <xdr:from>
      <xdr:col>9</xdr:col>
      <xdr:colOff>291702</xdr:colOff>
      <xdr:row>28</xdr:row>
      <xdr:rowOff>47624</xdr:rowOff>
    </xdr:from>
    <xdr:to>
      <xdr:col>19</xdr:col>
      <xdr:colOff>190499</xdr:colOff>
      <xdr:row>40</xdr:row>
      <xdr:rowOff>154184</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zoomScaleNormal="100" workbookViewId="0">
      <selection activeCell="E7" sqref="E7"/>
    </sheetView>
  </sheetViews>
  <sheetFormatPr defaultRowHeight="15" x14ac:dyDescent="0.25"/>
  <sheetData>
    <row r="1" spans="1:3" ht="24.75" customHeight="1" x14ac:dyDescent="0.55000000000000004">
      <c r="A1" s="52" t="s">
        <v>79</v>
      </c>
      <c r="C1" s="51"/>
    </row>
    <row r="3" spans="1:3" x14ac:dyDescent="0.25">
      <c r="B3" t="s">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39"/>
  <sheetViews>
    <sheetView showGridLines="0" topLeftCell="A28" zoomScale="90" zoomScaleNormal="90" workbookViewId="0">
      <selection activeCell="B43" sqref="B43"/>
    </sheetView>
  </sheetViews>
  <sheetFormatPr defaultColWidth="9.140625" defaultRowHeight="16.5" x14ac:dyDescent="0.3"/>
  <cols>
    <col min="1" max="1" width="4.42578125" style="3" customWidth="1"/>
    <col min="2" max="2" width="196.42578125" style="3" customWidth="1"/>
    <col min="3" max="16384" width="9.140625" style="3"/>
  </cols>
  <sheetData>
    <row r="1" spans="2:2" ht="25.5" x14ac:dyDescent="0.3">
      <c r="B1" s="35" t="s">
        <v>44</v>
      </c>
    </row>
    <row r="2" spans="2:2" ht="33" x14ac:dyDescent="0.3">
      <c r="B2" s="31" t="s">
        <v>49</v>
      </c>
    </row>
    <row r="3" spans="2:2" x14ac:dyDescent="0.3">
      <c r="B3" s="32" t="s">
        <v>45</v>
      </c>
    </row>
    <row r="4" spans="2:2" x14ac:dyDescent="0.3">
      <c r="B4" s="32" t="s">
        <v>46</v>
      </c>
    </row>
    <row r="5" spans="2:2" x14ac:dyDescent="0.3">
      <c r="B5" s="32" t="s">
        <v>47</v>
      </c>
    </row>
    <row r="6" spans="2:2" x14ac:dyDescent="0.3">
      <c r="B6" s="32" t="s">
        <v>48</v>
      </c>
    </row>
    <row r="7" spans="2:2" ht="33" x14ac:dyDescent="0.3">
      <c r="B7" s="31" t="s">
        <v>67</v>
      </c>
    </row>
    <row r="8" spans="2:2" x14ac:dyDescent="0.3">
      <c r="B8" s="34" t="s">
        <v>66</v>
      </c>
    </row>
    <row r="9" spans="2:2" ht="25.5" x14ac:dyDescent="0.3">
      <c r="B9" s="36" t="s">
        <v>0</v>
      </c>
    </row>
    <row r="10" spans="2:2" ht="33" x14ac:dyDescent="0.3">
      <c r="B10" s="31" t="s">
        <v>50</v>
      </c>
    </row>
    <row r="11" spans="2:2" ht="33" x14ac:dyDescent="0.3">
      <c r="B11" s="31" t="s">
        <v>51</v>
      </c>
    </row>
    <row r="12" spans="2:2" ht="66" x14ac:dyDescent="0.3">
      <c r="B12" s="33" t="s">
        <v>71</v>
      </c>
    </row>
    <row r="13" spans="2:2" ht="25.5" x14ac:dyDescent="0.3">
      <c r="B13" s="36" t="s">
        <v>52</v>
      </c>
    </row>
    <row r="14" spans="2:2" ht="33" x14ac:dyDescent="0.3">
      <c r="B14" s="31" t="s">
        <v>68</v>
      </c>
    </row>
    <row r="15" spans="2:2" ht="66.75" x14ac:dyDescent="0.3">
      <c r="B15" s="31" t="s">
        <v>69</v>
      </c>
    </row>
    <row r="16" spans="2:2" ht="20.25" customHeight="1" x14ac:dyDescent="0.3">
      <c r="B16" s="31" t="s">
        <v>53</v>
      </c>
    </row>
    <row r="17" spans="2:2" x14ac:dyDescent="0.3">
      <c r="B17" s="31" t="s">
        <v>54</v>
      </c>
    </row>
    <row r="18" spans="2:2" ht="49.5" x14ac:dyDescent="0.3">
      <c r="B18" s="33" t="s">
        <v>72</v>
      </c>
    </row>
    <row r="19" spans="2:2" ht="25.5" x14ac:dyDescent="0.3">
      <c r="B19" s="36" t="s">
        <v>2</v>
      </c>
    </row>
    <row r="20" spans="2:2" ht="37.5" customHeight="1" x14ac:dyDescent="0.3">
      <c r="B20" s="31" t="s">
        <v>55</v>
      </c>
    </row>
    <row r="21" spans="2:2" ht="49.5" x14ac:dyDescent="0.3">
      <c r="B21" s="33" t="s">
        <v>73</v>
      </c>
    </row>
    <row r="22" spans="2:2" ht="25.5" x14ac:dyDescent="0.3">
      <c r="B22" s="36" t="s">
        <v>3</v>
      </c>
    </row>
    <row r="23" spans="2:2" ht="33" x14ac:dyDescent="0.3">
      <c r="B23" s="31" t="s">
        <v>56</v>
      </c>
    </row>
    <row r="24" spans="2:2" ht="49.5" x14ac:dyDescent="0.3">
      <c r="B24" s="33" t="s">
        <v>74</v>
      </c>
    </row>
    <row r="25" spans="2:2" ht="25.5" x14ac:dyDescent="0.3">
      <c r="B25" s="36" t="s">
        <v>4</v>
      </c>
    </row>
    <row r="26" spans="2:2" ht="49.5" x14ac:dyDescent="0.3">
      <c r="B26" s="31" t="s">
        <v>57</v>
      </c>
    </row>
    <row r="27" spans="2:2" ht="33" x14ac:dyDescent="0.3">
      <c r="B27" s="31" t="s">
        <v>58</v>
      </c>
    </row>
    <row r="28" spans="2:2" ht="49.5" x14ac:dyDescent="0.3">
      <c r="B28" s="33" t="s">
        <v>75</v>
      </c>
    </row>
    <row r="29" spans="2:2" ht="25.5" x14ac:dyDescent="0.3">
      <c r="B29" s="36" t="s">
        <v>59</v>
      </c>
    </row>
    <row r="30" spans="2:2" ht="33" x14ac:dyDescent="0.3">
      <c r="B30" s="31" t="s">
        <v>60</v>
      </c>
    </row>
    <row r="31" spans="2:2" x14ac:dyDescent="0.3">
      <c r="B31" s="31" t="s">
        <v>61</v>
      </c>
    </row>
    <row r="32" spans="2:2" ht="49.5" x14ac:dyDescent="0.3">
      <c r="B32" s="33" t="s">
        <v>76</v>
      </c>
    </row>
    <row r="33" spans="2:2" ht="25.5" x14ac:dyDescent="0.3">
      <c r="B33" s="36" t="s">
        <v>6</v>
      </c>
    </row>
    <row r="34" spans="2:2" ht="33" x14ac:dyDescent="0.3">
      <c r="B34" s="31" t="s">
        <v>65</v>
      </c>
    </row>
    <row r="35" spans="2:2" ht="33" x14ac:dyDescent="0.3">
      <c r="B35" s="33" t="s">
        <v>77</v>
      </c>
    </row>
    <row r="36" spans="2:2" ht="25.5" x14ac:dyDescent="0.3">
      <c r="B36" s="36" t="s">
        <v>62</v>
      </c>
    </row>
    <row r="37" spans="2:2" x14ac:dyDescent="0.3">
      <c r="B37" s="31" t="s">
        <v>63</v>
      </c>
    </row>
    <row r="38" spans="2:2" ht="33" x14ac:dyDescent="0.3">
      <c r="B38" s="31" t="s">
        <v>64</v>
      </c>
    </row>
    <row r="39" spans="2:2" ht="49.5" x14ac:dyDescent="0.3">
      <c r="B39" s="33" t="s">
        <v>78</v>
      </c>
    </row>
  </sheetData>
  <sheetProtection algorithmName="SHA-512" hashValue="L6L5IGfzrpPvb3ipP/fOj1+pZW6i0moRoaU9G3r9U1lzLIAFjB8rus+DdpZeLdxD52/xnDygxYwiDj5hRD2fyw==" saltValue="ELTAwfVvx1pQHEfgiB++v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30"/>
  <sheetViews>
    <sheetView showGridLines="0" zoomScale="80" zoomScaleNormal="80" workbookViewId="0">
      <selection activeCell="I35" sqref="I35"/>
    </sheetView>
  </sheetViews>
  <sheetFormatPr defaultColWidth="8.7109375" defaultRowHeight="16.5" x14ac:dyDescent="0.3"/>
  <cols>
    <col min="1" max="1" width="2.85546875" style="3" customWidth="1"/>
    <col min="2" max="2" width="1.7109375" style="3" customWidth="1"/>
    <col min="3" max="6" width="15.7109375" style="3" customWidth="1"/>
    <col min="7" max="7" width="5" style="3" customWidth="1"/>
    <col min="8" max="9" width="16.7109375" style="3" customWidth="1"/>
    <col min="10" max="13" width="17.5703125" style="3" customWidth="1"/>
    <col min="14" max="16384" width="8.7109375" style="3"/>
  </cols>
  <sheetData>
    <row r="1" spans="2:13" ht="6.95" customHeight="1" x14ac:dyDescent="0.3"/>
    <row r="2" spans="2:13" ht="16.5" customHeight="1" x14ac:dyDescent="0.3">
      <c r="B2" s="54" t="s">
        <v>9</v>
      </c>
      <c r="C2" s="54"/>
      <c r="D2" s="54"/>
      <c r="E2" s="54"/>
      <c r="F2" s="54"/>
    </row>
    <row r="3" spans="2:13" ht="6.6" customHeight="1" x14ac:dyDescent="0.3"/>
    <row r="4" spans="2:13" x14ac:dyDescent="0.3">
      <c r="B4" s="24" t="s">
        <v>14</v>
      </c>
      <c r="C4" s="24"/>
      <c r="D4" s="25"/>
      <c r="E4" s="25"/>
      <c r="F4" s="26"/>
      <c r="G4" s="28"/>
      <c r="H4" s="60" t="s">
        <v>39</v>
      </c>
      <c r="I4" s="61"/>
    </row>
    <row r="5" spans="2:13" x14ac:dyDescent="0.3">
      <c r="B5" s="7"/>
      <c r="E5" s="18" t="s">
        <v>15</v>
      </c>
      <c r="F5" s="23" t="s">
        <v>16</v>
      </c>
      <c r="H5" s="62"/>
      <c r="I5" s="63"/>
      <c r="J5" s="4"/>
      <c r="K5" s="4"/>
      <c r="L5" s="4"/>
      <c r="M5" s="4"/>
    </row>
    <row r="6" spans="2:13" x14ac:dyDescent="0.3">
      <c r="B6" s="7"/>
      <c r="C6" s="10" t="s">
        <v>0</v>
      </c>
      <c r="E6" s="39">
        <v>75000</v>
      </c>
      <c r="F6" s="40">
        <v>0</v>
      </c>
      <c r="H6" s="64">
        <f>'Detailed Calculations'!AW21</f>
        <v>1055049.9999999998</v>
      </c>
      <c r="I6" s="65"/>
      <c r="J6" s="6"/>
      <c r="K6" s="6"/>
      <c r="L6" s="6"/>
      <c r="M6" s="6"/>
    </row>
    <row r="7" spans="2:13" ht="16.5" customHeight="1" x14ac:dyDescent="0.3">
      <c r="B7" s="7"/>
      <c r="C7" s="10" t="s">
        <v>1</v>
      </c>
      <c r="E7" s="39">
        <v>50000</v>
      </c>
      <c r="F7" s="40">
        <v>0</v>
      </c>
    </row>
    <row r="8" spans="2:13" ht="16.5" customHeight="1" x14ac:dyDescent="0.3">
      <c r="B8" s="7"/>
      <c r="C8" s="10" t="s">
        <v>2</v>
      </c>
      <c r="E8" s="39">
        <v>10000</v>
      </c>
      <c r="F8" s="40">
        <v>0</v>
      </c>
      <c r="H8" s="60" t="s">
        <v>40</v>
      </c>
      <c r="I8" s="61"/>
    </row>
    <row r="9" spans="2:13" x14ac:dyDescent="0.3">
      <c r="B9" s="7"/>
      <c r="C9" s="10" t="s">
        <v>3</v>
      </c>
      <c r="E9" s="39">
        <v>25000</v>
      </c>
      <c r="F9" s="40">
        <v>0</v>
      </c>
      <c r="H9" s="62"/>
      <c r="I9" s="63"/>
    </row>
    <row r="10" spans="2:13" x14ac:dyDescent="0.3">
      <c r="B10" s="7"/>
      <c r="C10" s="10" t="s">
        <v>4</v>
      </c>
      <c r="E10" s="39">
        <v>50000</v>
      </c>
      <c r="F10" s="40">
        <v>2500</v>
      </c>
      <c r="H10" s="64">
        <f>'Detailed Calculations'!AW24</f>
        <v>222607.5</v>
      </c>
      <c r="I10" s="65"/>
    </row>
    <row r="11" spans="2:13" x14ac:dyDescent="0.3">
      <c r="B11" s="7"/>
      <c r="C11" s="10" t="s">
        <v>6</v>
      </c>
      <c r="E11" s="39">
        <v>15000</v>
      </c>
      <c r="F11" s="40">
        <v>0</v>
      </c>
    </row>
    <row r="12" spans="2:13" x14ac:dyDescent="0.3">
      <c r="B12" s="7"/>
      <c r="C12" s="10" t="s">
        <v>7</v>
      </c>
      <c r="E12" s="41">
        <v>10000</v>
      </c>
      <c r="F12" s="42">
        <v>0</v>
      </c>
      <c r="H12" s="66" t="s">
        <v>41</v>
      </c>
      <c r="I12" s="67"/>
    </row>
    <row r="13" spans="2:13" x14ac:dyDescent="0.3">
      <c r="B13" s="11"/>
      <c r="C13" s="8"/>
      <c r="D13" s="8" t="s">
        <v>8</v>
      </c>
      <c r="E13" s="27">
        <f>SUM(E6:E12)</f>
        <v>235000</v>
      </c>
      <c r="F13" s="9">
        <f>SUM(F6:F12)</f>
        <v>2500</v>
      </c>
      <c r="H13" s="68"/>
      <c r="I13" s="69"/>
    </row>
    <row r="14" spans="2:13" ht="6.6" customHeight="1" x14ac:dyDescent="0.3">
      <c r="H14" s="70">
        <f>LOOKUP(1,'Detailed Calculations'!B21:AW21,'Detailed Calculations'!B2:AW2)+1</f>
        <v>22</v>
      </c>
      <c r="I14" s="71"/>
    </row>
    <row r="15" spans="2:13" x14ac:dyDescent="0.3">
      <c r="B15" s="24" t="s">
        <v>13</v>
      </c>
      <c r="C15" s="25"/>
      <c r="D15" s="25"/>
      <c r="E15" s="25"/>
      <c r="F15" s="26"/>
      <c r="G15" s="28"/>
      <c r="H15" s="72"/>
      <c r="I15" s="73"/>
    </row>
    <row r="16" spans="2:13" x14ac:dyDescent="0.3">
      <c r="B16" s="16"/>
      <c r="C16" s="14"/>
      <c r="D16" s="14"/>
      <c r="E16" s="18" t="s">
        <v>15</v>
      </c>
      <c r="F16" s="23" t="s">
        <v>16</v>
      </c>
    </row>
    <row r="17" spans="2:9" x14ac:dyDescent="0.3">
      <c r="B17" s="13"/>
      <c r="C17" s="15" t="s">
        <v>12</v>
      </c>
      <c r="D17" s="14"/>
      <c r="E17" s="43">
        <v>40</v>
      </c>
      <c r="F17" s="44">
        <v>20</v>
      </c>
      <c r="H17" s="66" t="s">
        <v>42</v>
      </c>
      <c r="I17" s="67"/>
    </row>
    <row r="18" spans="2:9" x14ac:dyDescent="0.3">
      <c r="B18" s="11"/>
      <c r="C18" s="12" t="s">
        <v>10</v>
      </c>
      <c r="D18" s="12"/>
      <c r="E18" s="45">
        <v>45</v>
      </c>
      <c r="F18" s="46">
        <f>E18*0.15</f>
        <v>6.75</v>
      </c>
      <c r="H18" s="68"/>
      <c r="I18" s="69"/>
    </row>
    <row r="19" spans="2:9" s="17" customFormat="1" ht="5.25" customHeight="1" x14ac:dyDescent="0.3">
      <c r="H19" s="70">
        <f>LOOKUP(1,'Detailed Calculations'!B24:AW24,'Detailed Calculations'!B2:AW2)+1</f>
        <v>8</v>
      </c>
      <c r="I19" s="71"/>
    </row>
    <row r="20" spans="2:9" x14ac:dyDescent="0.3">
      <c r="B20" s="55" t="s">
        <v>43</v>
      </c>
      <c r="C20" s="56"/>
      <c r="D20" s="56"/>
      <c r="E20" s="56"/>
      <c r="F20" s="56"/>
      <c r="H20" s="72"/>
      <c r="I20" s="73"/>
    </row>
    <row r="21" spans="2:9" x14ac:dyDescent="0.3">
      <c r="B21" s="11"/>
      <c r="C21" s="12" t="s">
        <v>5</v>
      </c>
      <c r="D21" s="12"/>
      <c r="E21" s="12"/>
      <c r="F21" s="42">
        <v>60000</v>
      </c>
    </row>
    <row r="22" spans="2:9" ht="5.45" customHeight="1" x14ac:dyDescent="0.3">
      <c r="F22" s="5"/>
    </row>
    <row r="23" spans="2:9" x14ac:dyDescent="0.3">
      <c r="B23" s="55" t="s">
        <v>17</v>
      </c>
      <c r="C23" s="56"/>
      <c r="D23" s="56"/>
      <c r="E23" s="56"/>
      <c r="F23" s="57"/>
    </row>
    <row r="24" spans="2:9" ht="33" customHeight="1" x14ac:dyDescent="0.3">
      <c r="B24" s="11"/>
      <c r="C24" s="53" t="s">
        <v>11</v>
      </c>
      <c r="D24" s="53"/>
      <c r="E24" s="53"/>
      <c r="F24" s="47">
        <v>800</v>
      </c>
    </row>
    <row r="25" spans="2:9" ht="7.5" customHeight="1" x14ac:dyDescent="0.3"/>
    <row r="26" spans="2:9" x14ac:dyDescent="0.3">
      <c r="B26" s="55" t="s">
        <v>22</v>
      </c>
      <c r="C26" s="56"/>
      <c r="D26" s="56"/>
      <c r="E26" s="56"/>
      <c r="F26" s="57"/>
    </row>
    <row r="27" spans="2:9" x14ac:dyDescent="0.3">
      <c r="B27" s="7"/>
      <c r="C27" s="29" t="s">
        <v>18</v>
      </c>
      <c r="D27" s="29" t="s">
        <v>19</v>
      </c>
      <c r="E27" s="29" t="s">
        <v>20</v>
      </c>
      <c r="F27" s="30" t="s">
        <v>21</v>
      </c>
    </row>
    <row r="28" spans="2:9" x14ac:dyDescent="0.3">
      <c r="B28" s="11"/>
      <c r="C28" s="49">
        <v>400</v>
      </c>
      <c r="D28" s="49">
        <v>400</v>
      </c>
      <c r="E28" s="49">
        <v>400</v>
      </c>
      <c r="F28" s="50">
        <v>400</v>
      </c>
    </row>
    <row r="29" spans="2:9" ht="9" customHeight="1" x14ac:dyDescent="0.3"/>
    <row r="30" spans="2:9" x14ac:dyDescent="0.3">
      <c r="C30" s="58" t="s">
        <v>24</v>
      </c>
      <c r="D30" s="59"/>
      <c r="E30" s="48">
        <v>0.05</v>
      </c>
    </row>
  </sheetData>
  <sheetProtection algorithmName="SHA-512" hashValue="rb5EzWfy0eecO9rK56WgIlPNebsKaHRJAQTxPh7kB6STJpnpNy8RSkXb1dMvLcOrKnsjqXxV/xJ9aeahi94q+A==" saltValue="GuytOA42suqXIy3yy0VtPA==" spinCount="100000" sheet="1" objects="1" scenarios="1"/>
  <mergeCells count="14">
    <mergeCell ref="C24:E24"/>
    <mergeCell ref="B2:F2"/>
    <mergeCell ref="B26:F26"/>
    <mergeCell ref="C30:D30"/>
    <mergeCell ref="H4:I5"/>
    <mergeCell ref="H8:I9"/>
    <mergeCell ref="H6:I6"/>
    <mergeCell ref="B20:F20"/>
    <mergeCell ref="B23:F23"/>
    <mergeCell ref="H10:I10"/>
    <mergeCell ref="H12:I13"/>
    <mergeCell ref="H17:I18"/>
    <mergeCell ref="H14:I15"/>
    <mergeCell ref="H19:I2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27"/>
  <sheetViews>
    <sheetView showGridLines="0" zoomScale="90" zoomScaleNormal="90" workbookViewId="0">
      <pane xSplit="1" ySplit="2" topLeftCell="B3" activePane="bottomRight" state="frozen"/>
      <selection pane="topRight" activeCell="B1" sqref="B1"/>
      <selection pane="bottomLeft" activeCell="A3" sqref="A3"/>
      <selection pane="bottomRight" activeCell="J31" sqref="J31"/>
    </sheetView>
  </sheetViews>
  <sheetFormatPr defaultRowHeight="15" x14ac:dyDescent="0.25"/>
  <cols>
    <col min="1" max="1" width="37.140625" style="20" customWidth="1"/>
    <col min="2" max="49" width="12.7109375" style="1" customWidth="1"/>
  </cols>
  <sheetData>
    <row r="1" spans="1:49" x14ac:dyDescent="0.25">
      <c r="A1" s="21"/>
      <c r="B1" s="22" t="s">
        <v>23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row>
    <row r="2" spans="1:49" x14ac:dyDescent="0.25">
      <c r="A2" s="21"/>
      <c r="B2" s="22">
        <v>1</v>
      </c>
      <c r="C2" s="22">
        <v>2</v>
      </c>
      <c r="D2" s="22">
        <v>3</v>
      </c>
      <c r="E2" s="22">
        <v>4</v>
      </c>
      <c r="F2" s="22">
        <v>5</v>
      </c>
      <c r="G2" s="22">
        <v>6</v>
      </c>
      <c r="H2" s="22">
        <v>7</v>
      </c>
      <c r="I2" s="22">
        <v>8</v>
      </c>
      <c r="J2" s="22">
        <v>9</v>
      </c>
      <c r="K2" s="22">
        <v>10</v>
      </c>
      <c r="L2" s="22">
        <v>11</v>
      </c>
      <c r="M2" s="22">
        <v>12</v>
      </c>
      <c r="N2" s="22">
        <v>13</v>
      </c>
      <c r="O2" s="22">
        <v>14</v>
      </c>
      <c r="P2" s="22">
        <v>15</v>
      </c>
      <c r="Q2" s="22">
        <v>16</v>
      </c>
      <c r="R2" s="22">
        <v>17</v>
      </c>
      <c r="S2" s="22">
        <v>18</v>
      </c>
      <c r="T2" s="22">
        <v>19</v>
      </c>
      <c r="U2" s="22">
        <v>20</v>
      </c>
      <c r="V2" s="22">
        <v>21</v>
      </c>
      <c r="W2" s="22">
        <v>22</v>
      </c>
      <c r="X2" s="22">
        <v>23</v>
      </c>
      <c r="Y2" s="22">
        <v>24</v>
      </c>
      <c r="Z2" s="22">
        <v>25</v>
      </c>
      <c r="AA2" s="22">
        <v>26</v>
      </c>
      <c r="AB2" s="22">
        <v>27</v>
      </c>
      <c r="AC2" s="22">
        <v>28</v>
      </c>
      <c r="AD2" s="22">
        <v>29</v>
      </c>
      <c r="AE2" s="22">
        <v>30</v>
      </c>
      <c r="AF2" s="22">
        <v>31</v>
      </c>
      <c r="AG2" s="22">
        <v>32</v>
      </c>
      <c r="AH2" s="22">
        <v>33</v>
      </c>
      <c r="AI2" s="22">
        <v>34</v>
      </c>
      <c r="AJ2" s="22">
        <v>35</v>
      </c>
      <c r="AK2" s="22">
        <v>36</v>
      </c>
      <c r="AL2" s="22">
        <v>37</v>
      </c>
      <c r="AM2" s="22">
        <v>38</v>
      </c>
      <c r="AN2" s="22">
        <v>39</v>
      </c>
      <c r="AO2" s="22">
        <v>40</v>
      </c>
      <c r="AP2" s="22">
        <v>41</v>
      </c>
      <c r="AQ2" s="22">
        <v>42</v>
      </c>
      <c r="AR2" s="22">
        <v>43</v>
      </c>
      <c r="AS2" s="22">
        <v>44</v>
      </c>
      <c r="AT2" s="22">
        <v>45</v>
      </c>
      <c r="AU2" s="22">
        <v>46</v>
      </c>
      <c r="AV2" s="22">
        <v>47</v>
      </c>
      <c r="AW2" s="22">
        <v>48</v>
      </c>
    </row>
    <row r="3" spans="1:49" x14ac:dyDescent="0.25">
      <c r="A3" s="21"/>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row>
    <row r="4" spans="1:49" x14ac:dyDescent="0.25">
      <c r="A4" s="20" t="s">
        <v>25</v>
      </c>
      <c r="B4" s="19">
        <f>'RPTS Breakeven Calculator'!$C$28/12</f>
        <v>33.333333333333336</v>
      </c>
      <c r="C4" s="19">
        <f>'RPTS Breakeven Calculator'!$C$28/12</f>
        <v>33.333333333333336</v>
      </c>
      <c r="D4" s="19">
        <f>'RPTS Breakeven Calculator'!$C$28/12</f>
        <v>33.333333333333336</v>
      </c>
      <c r="E4" s="19">
        <f>'RPTS Breakeven Calculator'!$C$28/12</f>
        <v>33.333333333333336</v>
      </c>
      <c r="F4" s="19">
        <f>'RPTS Breakeven Calculator'!$C$28/12</f>
        <v>33.333333333333336</v>
      </c>
      <c r="G4" s="19">
        <f>'RPTS Breakeven Calculator'!$C$28/12</f>
        <v>33.333333333333336</v>
      </c>
      <c r="H4" s="19">
        <f>'RPTS Breakeven Calculator'!$C$28/12</f>
        <v>33.333333333333336</v>
      </c>
      <c r="I4" s="19">
        <f>'RPTS Breakeven Calculator'!$C$28/12</f>
        <v>33.333333333333336</v>
      </c>
      <c r="J4" s="19">
        <f>'RPTS Breakeven Calculator'!$C$28/12</f>
        <v>33.333333333333336</v>
      </c>
      <c r="K4" s="19">
        <f>'RPTS Breakeven Calculator'!$C$28/12</f>
        <v>33.333333333333336</v>
      </c>
      <c r="L4" s="19">
        <f>'RPTS Breakeven Calculator'!$C$28/12</f>
        <v>33.333333333333336</v>
      </c>
      <c r="M4" s="19">
        <f>'RPTS Breakeven Calculator'!$C$28/12</f>
        <v>33.333333333333336</v>
      </c>
      <c r="N4" s="19">
        <f>'RPTS Breakeven Calculator'!$D$28/12</f>
        <v>33.333333333333336</v>
      </c>
      <c r="O4" s="19">
        <f>'RPTS Breakeven Calculator'!$D$28/12</f>
        <v>33.333333333333336</v>
      </c>
      <c r="P4" s="19">
        <f>'RPTS Breakeven Calculator'!$D$28/12</f>
        <v>33.333333333333336</v>
      </c>
      <c r="Q4" s="19">
        <f>'RPTS Breakeven Calculator'!$D$28/12</f>
        <v>33.333333333333336</v>
      </c>
      <c r="R4" s="19">
        <f>'RPTS Breakeven Calculator'!$D$28/12</f>
        <v>33.333333333333336</v>
      </c>
      <c r="S4" s="19">
        <f>'RPTS Breakeven Calculator'!$D$28/12</f>
        <v>33.333333333333336</v>
      </c>
      <c r="T4" s="19">
        <f>'RPTS Breakeven Calculator'!$D$28/12</f>
        <v>33.333333333333336</v>
      </c>
      <c r="U4" s="19">
        <f>'RPTS Breakeven Calculator'!$D$28/12</f>
        <v>33.333333333333336</v>
      </c>
      <c r="V4" s="19">
        <f>'RPTS Breakeven Calculator'!$D$28/12</f>
        <v>33.333333333333336</v>
      </c>
      <c r="W4" s="19">
        <f>'RPTS Breakeven Calculator'!$D$28/12</f>
        <v>33.333333333333336</v>
      </c>
      <c r="X4" s="19">
        <f>'RPTS Breakeven Calculator'!$D$28/12</f>
        <v>33.333333333333336</v>
      </c>
      <c r="Y4" s="19">
        <f>'RPTS Breakeven Calculator'!$D$28/12</f>
        <v>33.333333333333336</v>
      </c>
      <c r="Z4" s="19">
        <f>'RPTS Breakeven Calculator'!$E$28/12</f>
        <v>33.333333333333336</v>
      </c>
      <c r="AA4" s="19">
        <f>'RPTS Breakeven Calculator'!$E$28/12</f>
        <v>33.333333333333336</v>
      </c>
      <c r="AB4" s="19">
        <f>'RPTS Breakeven Calculator'!$E$28/12</f>
        <v>33.333333333333336</v>
      </c>
      <c r="AC4" s="19">
        <f>'RPTS Breakeven Calculator'!$E$28/12</f>
        <v>33.333333333333336</v>
      </c>
      <c r="AD4" s="19">
        <f>'RPTS Breakeven Calculator'!$E$28/12</f>
        <v>33.333333333333336</v>
      </c>
      <c r="AE4" s="19">
        <f>'RPTS Breakeven Calculator'!$E$28/12</f>
        <v>33.333333333333336</v>
      </c>
      <c r="AF4" s="19">
        <f>'RPTS Breakeven Calculator'!$E$28/12</f>
        <v>33.333333333333336</v>
      </c>
      <c r="AG4" s="19">
        <f>'RPTS Breakeven Calculator'!$E$28/12</f>
        <v>33.333333333333336</v>
      </c>
      <c r="AH4" s="19">
        <f>'RPTS Breakeven Calculator'!$E$28/12</f>
        <v>33.333333333333336</v>
      </c>
      <c r="AI4" s="19">
        <f>'RPTS Breakeven Calculator'!$E$28/12</f>
        <v>33.333333333333336</v>
      </c>
      <c r="AJ4" s="19">
        <f>'RPTS Breakeven Calculator'!$E$28/12</f>
        <v>33.333333333333336</v>
      </c>
      <c r="AK4" s="19">
        <f>'RPTS Breakeven Calculator'!$E$28/12</f>
        <v>33.333333333333336</v>
      </c>
      <c r="AL4" s="19">
        <f>'RPTS Breakeven Calculator'!$F$28/12</f>
        <v>33.333333333333336</v>
      </c>
      <c r="AM4" s="19">
        <f>'RPTS Breakeven Calculator'!$F$28/12</f>
        <v>33.333333333333336</v>
      </c>
      <c r="AN4" s="19">
        <f>'RPTS Breakeven Calculator'!$F$28/12</f>
        <v>33.333333333333336</v>
      </c>
      <c r="AO4" s="19">
        <f>'RPTS Breakeven Calculator'!$F$28/12</f>
        <v>33.333333333333336</v>
      </c>
      <c r="AP4" s="19">
        <f>'RPTS Breakeven Calculator'!$F$28/12</f>
        <v>33.333333333333336</v>
      </c>
      <c r="AQ4" s="19">
        <f>'RPTS Breakeven Calculator'!$F$28/12</f>
        <v>33.333333333333336</v>
      </c>
      <c r="AR4" s="19">
        <f>'RPTS Breakeven Calculator'!$F$28/12</f>
        <v>33.333333333333336</v>
      </c>
      <c r="AS4" s="19">
        <f>'RPTS Breakeven Calculator'!$F$28/12</f>
        <v>33.333333333333336</v>
      </c>
      <c r="AT4" s="19">
        <f>'RPTS Breakeven Calculator'!$F$28/12</f>
        <v>33.333333333333336</v>
      </c>
      <c r="AU4" s="19">
        <f>'RPTS Breakeven Calculator'!$F$28/12</f>
        <v>33.333333333333336</v>
      </c>
      <c r="AV4" s="19">
        <f>'RPTS Breakeven Calculator'!$F$28/12</f>
        <v>33.333333333333336</v>
      </c>
      <c r="AW4" s="19">
        <f>'RPTS Breakeven Calculator'!$F$28/12</f>
        <v>33.333333333333336</v>
      </c>
    </row>
    <row r="5" spans="1:49" x14ac:dyDescent="0.25">
      <c r="A5" s="20" t="s">
        <v>26</v>
      </c>
      <c r="B5" s="19">
        <f>B4</f>
        <v>33.333333333333336</v>
      </c>
      <c r="C5" s="19">
        <f>C4+B5</f>
        <v>66.666666666666671</v>
      </c>
      <c r="D5" s="19">
        <f t="shared" ref="D5:M5" si="0">D4+C5</f>
        <v>100</v>
      </c>
      <c r="E5" s="19">
        <f t="shared" si="0"/>
        <v>133.33333333333334</v>
      </c>
      <c r="F5" s="19">
        <f t="shared" si="0"/>
        <v>166.66666666666669</v>
      </c>
      <c r="G5" s="19">
        <f t="shared" si="0"/>
        <v>200.00000000000003</v>
      </c>
      <c r="H5" s="19">
        <f t="shared" si="0"/>
        <v>233.33333333333337</v>
      </c>
      <c r="I5" s="19">
        <f t="shared" si="0"/>
        <v>266.66666666666669</v>
      </c>
      <c r="J5" s="19">
        <f t="shared" si="0"/>
        <v>300</v>
      </c>
      <c r="K5" s="19">
        <f t="shared" si="0"/>
        <v>333.33333333333331</v>
      </c>
      <c r="L5" s="19">
        <f t="shared" si="0"/>
        <v>366.66666666666663</v>
      </c>
      <c r="M5" s="19">
        <f t="shared" si="0"/>
        <v>399.99999999999994</v>
      </c>
      <c r="N5" s="19">
        <f>N4+M5-(B4*'RPTS Breakeven Calculator'!$E$30)</f>
        <v>431.66666666666657</v>
      </c>
      <c r="O5" s="19">
        <f>O4+N5-(C4*'RPTS Breakeven Calculator'!$E$30)</f>
        <v>463.3333333333332</v>
      </c>
      <c r="P5" s="19">
        <f>P4+O5-(D4*'RPTS Breakeven Calculator'!$E$30)</f>
        <v>494.99999999999983</v>
      </c>
      <c r="Q5" s="19">
        <f>Q4+P5-(E4*'RPTS Breakeven Calculator'!$E$30)</f>
        <v>526.66666666666652</v>
      </c>
      <c r="R5" s="19">
        <f>R4+Q5-(F4*'RPTS Breakeven Calculator'!$E$30)</f>
        <v>558.33333333333326</v>
      </c>
      <c r="S5" s="19">
        <f>S4+R5-(G4*'RPTS Breakeven Calculator'!$E$30)</f>
        <v>590</v>
      </c>
      <c r="T5" s="19">
        <f>T4+S5-(H4*'RPTS Breakeven Calculator'!$E$30)</f>
        <v>621.66666666666674</v>
      </c>
      <c r="U5" s="19">
        <f>U4+T5-(I4*'RPTS Breakeven Calculator'!$E$30)</f>
        <v>653.33333333333348</v>
      </c>
      <c r="V5" s="19">
        <f>V4+U5-(J4*'RPTS Breakeven Calculator'!$E$30)</f>
        <v>685.00000000000023</v>
      </c>
      <c r="W5" s="19">
        <f>W4+V5-(K4*'RPTS Breakeven Calculator'!$E$30)</f>
        <v>716.66666666666697</v>
      </c>
      <c r="X5" s="19">
        <f>X4+W5-(L4*'RPTS Breakeven Calculator'!$E$30)</f>
        <v>748.33333333333371</v>
      </c>
      <c r="Y5" s="19">
        <f>Y4+X5-(M4*'RPTS Breakeven Calculator'!$E$30)</f>
        <v>780.00000000000045</v>
      </c>
      <c r="Z5" s="19">
        <f>Z4+Y5-(N4*'RPTS Breakeven Calculator'!$E$30)</f>
        <v>811.6666666666672</v>
      </c>
      <c r="AA5" s="19">
        <f>AA4+Z5-(O4*'RPTS Breakeven Calculator'!$E$30)</f>
        <v>843.33333333333394</v>
      </c>
      <c r="AB5" s="19">
        <f>AB4+AA5-(P4*'RPTS Breakeven Calculator'!$E$30)</f>
        <v>875.00000000000068</v>
      </c>
      <c r="AC5" s="19">
        <f>AC4+AB5-(Q4*'RPTS Breakeven Calculator'!$E$30)</f>
        <v>906.66666666666742</v>
      </c>
      <c r="AD5" s="19">
        <f>AD4+AC5-(R4*'RPTS Breakeven Calculator'!$E$30)</f>
        <v>938.33333333333417</v>
      </c>
      <c r="AE5" s="19">
        <f>AE4+AD5-(S4*'RPTS Breakeven Calculator'!$E$30)</f>
        <v>970.00000000000091</v>
      </c>
      <c r="AF5" s="19">
        <f>AF4+AE5-(T4*'RPTS Breakeven Calculator'!$E$30)</f>
        <v>1001.6666666666677</v>
      </c>
      <c r="AG5" s="19">
        <f>AG4+AF5-(U4*'RPTS Breakeven Calculator'!$E$30)</f>
        <v>1033.3333333333342</v>
      </c>
      <c r="AH5" s="19">
        <f>AH4+AG5-(V4*'RPTS Breakeven Calculator'!$E$30)</f>
        <v>1065.0000000000007</v>
      </c>
      <c r="AI5" s="19">
        <f>AI4+AH5-(W4*'RPTS Breakeven Calculator'!$E$30)</f>
        <v>1096.6666666666672</v>
      </c>
      <c r="AJ5" s="19">
        <f>AJ4+AI5-(X4*'RPTS Breakeven Calculator'!$E$30)</f>
        <v>1128.3333333333337</v>
      </c>
      <c r="AK5" s="19">
        <f>AK4+AJ5-(Y4*'RPTS Breakeven Calculator'!$E$30)</f>
        <v>1160.0000000000002</v>
      </c>
      <c r="AL5" s="19">
        <f>AL4+AK5-(Z4*'RPTS Breakeven Calculator'!$E$30)</f>
        <v>1191.6666666666667</v>
      </c>
      <c r="AM5" s="19">
        <f>AM4+AL5-(AA4*'RPTS Breakeven Calculator'!$E$30)</f>
        <v>1223.3333333333333</v>
      </c>
      <c r="AN5" s="19">
        <f>AN4+AM5-(AB4*'RPTS Breakeven Calculator'!$E$30)</f>
        <v>1254.9999999999998</v>
      </c>
      <c r="AO5" s="19">
        <f>AO4+AN5-(AC4*'RPTS Breakeven Calculator'!$E$30)</f>
        <v>1286.6666666666663</v>
      </c>
      <c r="AP5" s="19">
        <f>AP4+AO5-(AD4*'RPTS Breakeven Calculator'!$E$30)</f>
        <v>1318.3333333333328</v>
      </c>
      <c r="AQ5" s="19">
        <f>AQ4+AP5-(AE4*'RPTS Breakeven Calculator'!$E$30)</f>
        <v>1349.9999999999993</v>
      </c>
      <c r="AR5" s="19">
        <f>AR4+AQ5-(AF4*'RPTS Breakeven Calculator'!$E$30)</f>
        <v>1381.6666666666658</v>
      </c>
      <c r="AS5" s="19">
        <f>AS4+AR5-(AG4*'RPTS Breakeven Calculator'!$E$30)</f>
        <v>1413.3333333333323</v>
      </c>
      <c r="AT5" s="19">
        <f>AT4+AS5-(AH4*'RPTS Breakeven Calculator'!$E$30)</f>
        <v>1444.9999999999989</v>
      </c>
      <c r="AU5" s="19">
        <f>AU4+AT5-(AI4*'RPTS Breakeven Calculator'!$E$30)</f>
        <v>1476.6666666666654</v>
      </c>
      <c r="AV5" s="19">
        <f>AV4+AU5-(AJ4*'RPTS Breakeven Calculator'!$E$30)</f>
        <v>1508.3333333333319</v>
      </c>
      <c r="AW5" s="19">
        <f>AW4+AV5-(AK4*'RPTS Breakeven Calculator'!$E$30)</f>
        <v>1539.9999999999984</v>
      </c>
    </row>
    <row r="7" spans="1:49" x14ac:dyDescent="0.25">
      <c r="A7" s="20" t="s">
        <v>27</v>
      </c>
      <c r="B7" s="2">
        <f>B5*'RPTS Breakeven Calculator'!$E$18</f>
        <v>1500</v>
      </c>
      <c r="C7" s="2">
        <f>C5*'RPTS Breakeven Calculator'!$E$18</f>
        <v>3000</v>
      </c>
      <c r="D7" s="2">
        <f>D5*'RPTS Breakeven Calculator'!$E$18</f>
        <v>4500</v>
      </c>
      <c r="E7" s="2">
        <f>E5*'RPTS Breakeven Calculator'!$E$18</f>
        <v>6000</v>
      </c>
      <c r="F7" s="2">
        <f>F5*'RPTS Breakeven Calculator'!$E$18</f>
        <v>7500.0000000000009</v>
      </c>
      <c r="G7" s="2">
        <f>G5*'RPTS Breakeven Calculator'!$E$18</f>
        <v>9000.0000000000018</v>
      </c>
      <c r="H7" s="2">
        <f>H5*'RPTS Breakeven Calculator'!$E$18</f>
        <v>10500.000000000002</v>
      </c>
      <c r="I7" s="2">
        <f>I5*'RPTS Breakeven Calculator'!$E$18</f>
        <v>12000</v>
      </c>
      <c r="J7" s="2">
        <f>J5*'RPTS Breakeven Calculator'!$E$18</f>
        <v>13500</v>
      </c>
      <c r="K7" s="2">
        <f>K5*'RPTS Breakeven Calculator'!$E$18</f>
        <v>15000</v>
      </c>
      <c r="L7" s="2">
        <f>L5*'RPTS Breakeven Calculator'!$E$18</f>
        <v>16500</v>
      </c>
      <c r="M7" s="2">
        <f>M5*'RPTS Breakeven Calculator'!$E$18</f>
        <v>17999.999999999996</v>
      </c>
      <c r="N7" s="2">
        <f>N5*'RPTS Breakeven Calculator'!$E$18</f>
        <v>19424.999999999996</v>
      </c>
      <c r="O7" s="2">
        <f>O5*'RPTS Breakeven Calculator'!$E$18</f>
        <v>20849.999999999993</v>
      </c>
      <c r="P7" s="2">
        <f>P5*'RPTS Breakeven Calculator'!$E$18</f>
        <v>22274.999999999993</v>
      </c>
      <c r="Q7" s="2">
        <f>Q5*'RPTS Breakeven Calculator'!$E$18</f>
        <v>23699.999999999993</v>
      </c>
      <c r="R7" s="2">
        <f>R5*'RPTS Breakeven Calculator'!$E$18</f>
        <v>25124.999999999996</v>
      </c>
      <c r="S7" s="2">
        <f>S5*'RPTS Breakeven Calculator'!$E$18</f>
        <v>26550</v>
      </c>
      <c r="T7" s="2">
        <f>T5*'RPTS Breakeven Calculator'!$E$18</f>
        <v>27975.000000000004</v>
      </c>
      <c r="U7" s="2">
        <f>U5*'RPTS Breakeven Calculator'!$E$18</f>
        <v>29400.000000000007</v>
      </c>
      <c r="V7" s="2">
        <f>V5*'RPTS Breakeven Calculator'!$E$18</f>
        <v>30825.000000000011</v>
      </c>
      <c r="W7" s="2">
        <f>W5*'RPTS Breakeven Calculator'!$E$18</f>
        <v>32250.000000000015</v>
      </c>
      <c r="X7" s="2">
        <f>X5*'RPTS Breakeven Calculator'!$E$18</f>
        <v>33675.000000000015</v>
      </c>
      <c r="Y7" s="2">
        <f>Y5*'RPTS Breakeven Calculator'!$E$18</f>
        <v>35100.000000000022</v>
      </c>
      <c r="Z7" s="2">
        <f>Z5*'RPTS Breakeven Calculator'!$E$18</f>
        <v>36525.000000000022</v>
      </c>
      <c r="AA7" s="2">
        <f>AA5*'RPTS Breakeven Calculator'!$E$18</f>
        <v>37950.000000000029</v>
      </c>
      <c r="AB7" s="2">
        <f>AB5*'RPTS Breakeven Calculator'!$E$18</f>
        <v>39375.000000000029</v>
      </c>
      <c r="AC7" s="2">
        <f>AC5*'RPTS Breakeven Calculator'!$E$18</f>
        <v>40800.000000000036</v>
      </c>
      <c r="AD7" s="2">
        <f>AD5*'RPTS Breakeven Calculator'!$E$18</f>
        <v>42225.000000000036</v>
      </c>
      <c r="AE7" s="2">
        <f>AE5*'RPTS Breakeven Calculator'!$E$18</f>
        <v>43650.000000000044</v>
      </c>
      <c r="AF7" s="2">
        <f>AF5*'RPTS Breakeven Calculator'!$E$18</f>
        <v>45075.000000000044</v>
      </c>
      <c r="AG7" s="2">
        <f>AG5*'RPTS Breakeven Calculator'!$E$18</f>
        <v>46500.000000000036</v>
      </c>
      <c r="AH7" s="2">
        <f>AH5*'RPTS Breakeven Calculator'!$E$18</f>
        <v>47925.000000000029</v>
      </c>
      <c r="AI7" s="2">
        <f>AI5*'RPTS Breakeven Calculator'!$E$18</f>
        <v>49350.000000000022</v>
      </c>
      <c r="AJ7" s="2">
        <f>AJ5*'RPTS Breakeven Calculator'!$E$18</f>
        <v>50775.000000000015</v>
      </c>
      <c r="AK7" s="2">
        <f>AK5*'RPTS Breakeven Calculator'!$E$18</f>
        <v>52200.000000000007</v>
      </c>
      <c r="AL7" s="2">
        <f>AL5*'RPTS Breakeven Calculator'!$E$18</f>
        <v>53625</v>
      </c>
      <c r="AM7" s="2">
        <f>AM5*'RPTS Breakeven Calculator'!$E$18</f>
        <v>55050</v>
      </c>
      <c r="AN7" s="2">
        <f>AN5*'RPTS Breakeven Calculator'!$E$18</f>
        <v>56474.999999999993</v>
      </c>
      <c r="AO7" s="2">
        <f>AO5*'RPTS Breakeven Calculator'!$E$18</f>
        <v>57899.999999999985</v>
      </c>
      <c r="AP7" s="2">
        <f>AP5*'RPTS Breakeven Calculator'!$E$18</f>
        <v>59324.999999999978</v>
      </c>
      <c r="AQ7" s="2">
        <f>AQ5*'RPTS Breakeven Calculator'!$E$18</f>
        <v>60749.999999999971</v>
      </c>
      <c r="AR7" s="2">
        <f>AR5*'RPTS Breakeven Calculator'!$E$18</f>
        <v>62174.999999999964</v>
      </c>
      <c r="AS7" s="2">
        <f>AS5*'RPTS Breakeven Calculator'!$E$18</f>
        <v>63599.999999999956</v>
      </c>
      <c r="AT7" s="2">
        <f>AT5*'RPTS Breakeven Calculator'!$E$18</f>
        <v>65024.999999999949</v>
      </c>
      <c r="AU7" s="2">
        <f>AU5*'RPTS Breakeven Calculator'!$E$18</f>
        <v>66449.999999999942</v>
      </c>
      <c r="AV7" s="2">
        <f>AV5*'RPTS Breakeven Calculator'!$E$18</f>
        <v>67874.999999999942</v>
      </c>
      <c r="AW7" s="2">
        <f>AW5*'RPTS Breakeven Calculator'!$E$18</f>
        <v>69299.999999999927</v>
      </c>
    </row>
    <row r="8" spans="1:49" x14ac:dyDescent="0.25">
      <c r="A8" s="20" t="s">
        <v>28</v>
      </c>
      <c r="B8" s="2">
        <f>B5*'RPTS Breakeven Calculator'!$F$18</f>
        <v>225.00000000000003</v>
      </c>
      <c r="C8" s="2">
        <f>C5*'RPTS Breakeven Calculator'!$F$18</f>
        <v>450.00000000000006</v>
      </c>
      <c r="D8" s="2">
        <f>D5*'RPTS Breakeven Calculator'!$F$18</f>
        <v>675</v>
      </c>
      <c r="E8" s="2">
        <f>E5*'RPTS Breakeven Calculator'!$F$18</f>
        <v>900.00000000000011</v>
      </c>
      <c r="F8" s="2">
        <f>F5*'RPTS Breakeven Calculator'!$F$18</f>
        <v>1125.0000000000002</v>
      </c>
      <c r="G8" s="2">
        <f>G5*'RPTS Breakeven Calculator'!$F$18</f>
        <v>1350.0000000000002</v>
      </c>
      <c r="H8" s="2">
        <f>H5*'RPTS Breakeven Calculator'!$F$18</f>
        <v>1575.0000000000002</v>
      </c>
      <c r="I8" s="2">
        <f>I5*'RPTS Breakeven Calculator'!$F$18</f>
        <v>1800.0000000000002</v>
      </c>
      <c r="J8" s="2">
        <f>J5*'RPTS Breakeven Calculator'!$F$18</f>
        <v>2025</v>
      </c>
      <c r="K8" s="2">
        <f>K5*'RPTS Breakeven Calculator'!$F$18</f>
        <v>2250</v>
      </c>
      <c r="L8" s="2">
        <f>L5*'RPTS Breakeven Calculator'!$F$18</f>
        <v>2474.9999999999995</v>
      </c>
      <c r="M8" s="2">
        <f>M5*'RPTS Breakeven Calculator'!$F$18</f>
        <v>2699.9999999999995</v>
      </c>
      <c r="N8" s="2">
        <f>N5*'RPTS Breakeven Calculator'!$F$18</f>
        <v>2913.7499999999995</v>
      </c>
      <c r="O8" s="2">
        <f>O5*'RPTS Breakeven Calculator'!$F$18</f>
        <v>3127.4999999999991</v>
      </c>
      <c r="P8" s="2">
        <f>P5*'RPTS Breakeven Calculator'!$F$18</f>
        <v>3341.2499999999986</v>
      </c>
      <c r="Q8" s="2">
        <f>Q5*'RPTS Breakeven Calculator'!$F$18</f>
        <v>3554.9999999999991</v>
      </c>
      <c r="R8" s="2">
        <f>R5*'RPTS Breakeven Calculator'!$F$18</f>
        <v>3768.7499999999995</v>
      </c>
      <c r="S8" s="2">
        <f>S5*'RPTS Breakeven Calculator'!$F$18</f>
        <v>3982.5</v>
      </c>
      <c r="T8" s="2">
        <f>T5*'RPTS Breakeven Calculator'!$F$18</f>
        <v>4196.2500000000009</v>
      </c>
      <c r="U8" s="2">
        <f>U5*'RPTS Breakeven Calculator'!$F$18</f>
        <v>4410.0000000000009</v>
      </c>
      <c r="V8" s="2">
        <f>V5*'RPTS Breakeven Calculator'!$F$18</f>
        <v>4623.7500000000018</v>
      </c>
      <c r="W8" s="2">
        <f>W5*'RPTS Breakeven Calculator'!$F$18</f>
        <v>4837.5000000000018</v>
      </c>
      <c r="X8" s="2">
        <f>X5*'RPTS Breakeven Calculator'!$F$18</f>
        <v>5051.2500000000027</v>
      </c>
      <c r="Y8" s="2">
        <f>Y5*'RPTS Breakeven Calculator'!$F$18</f>
        <v>5265.0000000000027</v>
      </c>
      <c r="Z8" s="2">
        <f>Z5*'RPTS Breakeven Calculator'!$F$18</f>
        <v>5478.7500000000036</v>
      </c>
      <c r="AA8" s="2">
        <f>AA5*'RPTS Breakeven Calculator'!$F$18</f>
        <v>5692.5000000000036</v>
      </c>
      <c r="AB8" s="2">
        <f>AB5*'RPTS Breakeven Calculator'!$F$18</f>
        <v>5906.2500000000045</v>
      </c>
      <c r="AC8" s="2">
        <f>AC5*'RPTS Breakeven Calculator'!$F$18</f>
        <v>6120.0000000000055</v>
      </c>
      <c r="AD8" s="2">
        <f>AD5*'RPTS Breakeven Calculator'!$F$18</f>
        <v>6333.7500000000055</v>
      </c>
      <c r="AE8" s="2">
        <f>AE5*'RPTS Breakeven Calculator'!$F$18</f>
        <v>6547.5000000000064</v>
      </c>
      <c r="AF8" s="2">
        <f>AF5*'RPTS Breakeven Calculator'!$F$18</f>
        <v>6761.2500000000064</v>
      </c>
      <c r="AG8" s="2">
        <f>AG5*'RPTS Breakeven Calculator'!$F$18</f>
        <v>6975.0000000000055</v>
      </c>
      <c r="AH8" s="2">
        <f>AH5*'RPTS Breakeven Calculator'!$F$18</f>
        <v>7188.7500000000045</v>
      </c>
      <c r="AI8" s="2">
        <f>AI5*'RPTS Breakeven Calculator'!$F$18</f>
        <v>7402.5000000000036</v>
      </c>
      <c r="AJ8" s="2">
        <f>AJ5*'RPTS Breakeven Calculator'!$F$18</f>
        <v>7616.2500000000027</v>
      </c>
      <c r="AK8" s="2">
        <f>AK5*'RPTS Breakeven Calculator'!$F$18</f>
        <v>7830.0000000000018</v>
      </c>
      <c r="AL8" s="2">
        <f>AL5*'RPTS Breakeven Calculator'!$F$18</f>
        <v>8043.7500000000009</v>
      </c>
      <c r="AM8" s="2">
        <f>AM5*'RPTS Breakeven Calculator'!$F$18</f>
        <v>8257.5</v>
      </c>
      <c r="AN8" s="2">
        <f>AN5*'RPTS Breakeven Calculator'!$F$18</f>
        <v>8471.2499999999982</v>
      </c>
      <c r="AO8" s="2">
        <f>AO5*'RPTS Breakeven Calculator'!$F$18</f>
        <v>8684.9999999999982</v>
      </c>
      <c r="AP8" s="2">
        <f>AP5*'RPTS Breakeven Calculator'!$F$18</f>
        <v>8898.7499999999964</v>
      </c>
      <c r="AQ8" s="2">
        <f>AQ5*'RPTS Breakeven Calculator'!$F$18</f>
        <v>9112.4999999999945</v>
      </c>
      <c r="AR8" s="2">
        <f>AR5*'RPTS Breakeven Calculator'!$F$18</f>
        <v>9326.2499999999945</v>
      </c>
      <c r="AS8" s="2">
        <f>AS5*'RPTS Breakeven Calculator'!$F$18</f>
        <v>9539.9999999999927</v>
      </c>
      <c r="AT8" s="2">
        <f>AT5*'RPTS Breakeven Calculator'!$F$18</f>
        <v>9753.7499999999927</v>
      </c>
      <c r="AU8" s="2">
        <f>AU5*'RPTS Breakeven Calculator'!$F$18</f>
        <v>9967.4999999999909</v>
      </c>
      <c r="AV8" s="2">
        <f>AV5*'RPTS Breakeven Calculator'!$F$18</f>
        <v>10181.249999999991</v>
      </c>
      <c r="AW8" s="2">
        <f>AW5*'RPTS Breakeven Calculator'!$F$18</f>
        <v>10394.999999999989</v>
      </c>
    </row>
    <row r="10" spans="1:49" x14ac:dyDescent="0.25">
      <c r="A10" s="20" t="s">
        <v>29</v>
      </c>
      <c r="B10" s="1">
        <f>ROUNDUP(B5/'RPTS Breakeven Calculator'!$F$24,0)</f>
        <v>1</v>
      </c>
      <c r="C10" s="1">
        <f>ROUNDUP(C5/'RPTS Breakeven Calculator'!$F$24,0)</f>
        <v>1</v>
      </c>
      <c r="D10" s="1">
        <f>ROUNDUP(D5/'RPTS Breakeven Calculator'!$F$24,0)</f>
        <v>1</v>
      </c>
      <c r="E10" s="1">
        <f>ROUNDUP(E5/'RPTS Breakeven Calculator'!$F$24,0)</f>
        <v>1</v>
      </c>
      <c r="F10" s="1">
        <f>ROUNDUP(F5/'RPTS Breakeven Calculator'!$F$24,0)</f>
        <v>1</v>
      </c>
      <c r="G10" s="1">
        <f>ROUNDUP(G5/'RPTS Breakeven Calculator'!$F$24,0)</f>
        <v>1</v>
      </c>
      <c r="H10" s="1">
        <f>ROUNDUP(H5/'RPTS Breakeven Calculator'!$F$24,0)</f>
        <v>1</v>
      </c>
      <c r="I10" s="1">
        <f>ROUNDUP(I5/'RPTS Breakeven Calculator'!$F$24,0)</f>
        <v>1</v>
      </c>
      <c r="J10" s="1">
        <f>ROUNDUP(J5/'RPTS Breakeven Calculator'!$F$24,0)</f>
        <v>1</v>
      </c>
      <c r="K10" s="1">
        <f>ROUNDUP(K5/'RPTS Breakeven Calculator'!$F$24,0)</f>
        <v>1</v>
      </c>
      <c r="L10" s="1">
        <f>ROUNDUP(L5/'RPTS Breakeven Calculator'!$F$24,0)</f>
        <v>1</v>
      </c>
      <c r="M10" s="1">
        <f>ROUNDUP(M5/'RPTS Breakeven Calculator'!$F$24,0)</f>
        <v>1</v>
      </c>
      <c r="N10" s="1">
        <f>ROUNDUP(N5/'RPTS Breakeven Calculator'!$F$24,0)</f>
        <v>1</v>
      </c>
      <c r="O10" s="1">
        <f>ROUNDUP(O5/'RPTS Breakeven Calculator'!$F$24,0)</f>
        <v>1</v>
      </c>
      <c r="P10" s="1">
        <f>ROUNDUP(P5/'RPTS Breakeven Calculator'!$F$24,0)</f>
        <v>1</v>
      </c>
      <c r="Q10" s="1">
        <f>ROUNDUP(Q5/'RPTS Breakeven Calculator'!$F$24,0)</f>
        <v>1</v>
      </c>
      <c r="R10" s="1">
        <f>ROUNDUP(R5/'RPTS Breakeven Calculator'!$F$24,0)</f>
        <v>1</v>
      </c>
      <c r="S10" s="1">
        <f>ROUNDUP(S5/'RPTS Breakeven Calculator'!$F$24,0)</f>
        <v>1</v>
      </c>
      <c r="T10" s="1">
        <f>ROUNDUP(T5/'RPTS Breakeven Calculator'!$F$24,0)</f>
        <v>1</v>
      </c>
      <c r="U10" s="1">
        <f>ROUNDUP(U5/'RPTS Breakeven Calculator'!$F$24,0)</f>
        <v>1</v>
      </c>
      <c r="V10" s="1">
        <f>ROUNDUP(V5/'RPTS Breakeven Calculator'!$F$24,0)</f>
        <v>1</v>
      </c>
      <c r="W10" s="1">
        <f>ROUNDUP(W5/'RPTS Breakeven Calculator'!$F$24,0)</f>
        <v>1</v>
      </c>
      <c r="X10" s="1">
        <f>ROUNDUP(X5/'RPTS Breakeven Calculator'!$F$24,0)</f>
        <v>1</v>
      </c>
      <c r="Y10" s="1">
        <f>ROUNDUP(Y5/'RPTS Breakeven Calculator'!$F$24,0)</f>
        <v>1</v>
      </c>
      <c r="Z10" s="1">
        <f>ROUNDUP(Z5/'RPTS Breakeven Calculator'!$F$24,0)</f>
        <v>2</v>
      </c>
      <c r="AA10" s="1">
        <f>ROUNDUP(AA5/'RPTS Breakeven Calculator'!$F$24,0)</f>
        <v>2</v>
      </c>
      <c r="AB10" s="1">
        <f>ROUNDUP(AB5/'RPTS Breakeven Calculator'!$F$24,0)</f>
        <v>2</v>
      </c>
      <c r="AC10" s="1">
        <f>ROUNDUP(AC5/'RPTS Breakeven Calculator'!$F$24,0)</f>
        <v>2</v>
      </c>
      <c r="AD10" s="1">
        <f>ROUNDUP(AD5/'RPTS Breakeven Calculator'!$F$24,0)</f>
        <v>2</v>
      </c>
      <c r="AE10" s="1">
        <f>ROUNDUP(AE5/'RPTS Breakeven Calculator'!$F$24,0)</f>
        <v>2</v>
      </c>
      <c r="AF10" s="1">
        <f>ROUNDUP(AF5/'RPTS Breakeven Calculator'!$F$24,0)</f>
        <v>2</v>
      </c>
      <c r="AG10" s="1">
        <f>ROUNDUP(AG5/'RPTS Breakeven Calculator'!$F$24,0)</f>
        <v>2</v>
      </c>
      <c r="AH10" s="1">
        <f>ROUNDUP(AH5/'RPTS Breakeven Calculator'!$F$24,0)</f>
        <v>2</v>
      </c>
      <c r="AI10" s="1">
        <f>ROUNDUP(AI5/'RPTS Breakeven Calculator'!$F$24,0)</f>
        <v>2</v>
      </c>
      <c r="AJ10" s="1">
        <f>ROUNDUP(AJ5/'RPTS Breakeven Calculator'!$F$24,0)</f>
        <v>2</v>
      </c>
      <c r="AK10" s="1">
        <f>ROUNDUP(AK5/'RPTS Breakeven Calculator'!$F$24,0)</f>
        <v>2</v>
      </c>
      <c r="AL10" s="1">
        <f>ROUNDUP(AL5/'RPTS Breakeven Calculator'!$F$24,0)</f>
        <v>2</v>
      </c>
      <c r="AM10" s="1">
        <f>ROUNDUP(AM5/'RPTS Breakeven Calculator'!$F$24,0)</f>
        <v>2</v>
      </c>
      <c r="AN10" s="1">
        <f>ROUNDUP(AN5/'RPTS Breakeven Calculator'!$F$24,0)</f>
        <v>2</v>
      </c>
      <c r="AO10" s="1">
        <f>ROUNDUP(AO5/'RPTS Breakeven Calculator'!$F$24,0)</f>
        <v>2</v>
      </c>
      <c r="AP10" s="1">
        <f>ROUNDUP(AP5/'RPTS Breakeven Calculator'!$F$24,0)</f>
        <v>2</v>
      </c>
      <c r="AQ10" s="1">
        <f>ROUNDUP(AQ5/'RPTS Breakeven Calculator'!$F$24,0)</f>
        <v>2</v>
      </c>
      <c r="AR10" s="1">
        <f>ROUNDUP(AR5/'RPTS Breakeven Calculator'!$F$24,0)</f>
        <v>2</v>
      </c>
      <c r="AS10" s="1">
        <f>ROUNDUP(AS5/'RPTS Breakeven Calculator'!$F$24,0)</f>
        <v>2</v>
      </c>
      <c r="AT10" s="1">
        <f>ROUNDUP(AT5/'RPTS Breakeven Calculator'!$F$24,0)</f>
        <v>2</v>
      </c>
      <c r="AU10" s="1">
        <f>ROUNDUP(AU5/'RPTS Breakeven Calculator'!$F$24,0)</f>
        <v>2</v>
      </c>
      <c r="AV10" s="1">
        <f>ROUNDUP(AV5/'RPTS Breakeven Calculator'!$F$24,0)</f>
        <v>2</v>
      </c>
      <c r="AW10" s="1">
        <f>ROUNDUP(AW5/'RPTS Breakeven Calculator'!$F$24,0)</f>
        <v>2</v>
      </c>
    </row>
    <row r="12" spans="1:49" x14ac:dyDescent="0.25">
      <c r="A12" s="20" t="s">
        <v>30</v>
      </c>
      <c r="B12" s="2">
        <f>-'RPTS Breakeven Calculator'!E13</f>
        <v>-235000</v>
      </c>
    </row>
    <row r="13" spans="1:49" x14ac:dyDescent="0.25">
      <c r="A13" s="20" t="s">
        <v>31</v>
      </c>
      <c r="B13" s="2">
        <f>-'RPTS Breakeven Calculator'!F13</f>
        <v>-2500</v>
      </c>
    </row>
    <row r="15" spans="1:49" x14ac:dyDescent="0.25">
      <c r="A15" s="20" t="s">
        <v>38</v>
      </c>
      <c r="B15" s="2">
        <f>-B10*'RPTS Breakeven Calculator'!$F$21/12</f>
        <v>-5000</v>
      </c>
      <c r="C15" s="2">
        <f>-C10*'RPTS Breakeven Calculator'!$F$21/12</f>
        <v>-5000</v>
      </c>
      <c r="D15" s="2">
        <f>-D10*'RPTS Breakeven Calculator'!$F$21/12</f>
        <v>-5000</v>
      </c>
      <c r="E15" s="2">
        <f>-E10*'RPTS Breakeven Calculator'!$F$21/12</f>
        <v>-5000</v>
      </c>
      <c r="F15" s="2">
        <f>-F10*'RPTS Breakeven Calculator'!$F$21/12</f>
        <v>-5000</v>
      </c>
      <c r="G15" s="2">
        <f>-G10*'RPTS Breakeven Calculator'!$F$21/12</f>
        <v>-5000</v>
      </c>
      <c r="H15" s="2">
        <f>-H10*'RPTS Breakeven Calculator'!$F$21/12</f>
        <v>-5000</v>
      </c>
      <c r="I15" s="2">
        <f>-I10*'RPTS Breakeven Calculator'!$F$21/12</f>
        <v>-5000</v>
      </c>
      <c r="J15" s="2">
        <f>-J10*'RPTS Breakeven Calculator'!$F$21/12</f>
        <v>-5000</v>
      </c>
      <c r="K15" s="2">
        <f>-K10*'RPTS Breakeven Calculator'!$F$21/12</f>
        <v>-5000</v>
      </c>
      <c r="L15" s="2">
        <f>-L10*'RPTS Breakeven Calculator'!$F$21/12</f>
        <v>-5000</v>
      </c>
      <c r="M15" s="2">
        <f>-M10*'RPTS Breakeven Calculator'!$F$21/12</f>
        <v>-5000</v>
      </c>
      <c r="N15" s="2">
        <f>-N10*'RPTS Breakeven Calculator'!$F$21/12</f>
        <v>-5000</v>
      </c>
      <c r="O15" s="2">
        <f>-O10*'RPTS Breakeven Calculator'!$F$21/12</f>
        <v>-5000</v>
      </c>
      <c r="P15" s="2">
        <f>-P10*'RPTS Breakeven Calculator'!$F$21/12</f>
        <v>-5000</v>
      </c>
      <c r="Q15" s="2">
        <f>-Q10*'RPTS Breakeven Calculator'!$F$21/12</f>
        <v>-5000</v>
      </c>
      <c r="R15" s="2">
        <f>-R10*'RPTS Breakeven Calculator'!$F$21/12</f>
        <v>-5000</v>
      </c>
      <c r="S15" s="2">
        <f>-S10*'RPTS Breakeven Calculator'!$F$21/12</f>
        <v>-5000</v>
      </c>
      <c r="T15" s="2">
        <f>-T10*'RPTS Breakeven Calculator'!$F$21/12</f>
        <v>-5000</v>
      </c>
      <c r="U15" s="2">
        <f>-U10*'RPTS Breakeven Calculator'!$F$21/12</f>
        <v>-5000</v>
      </c>
      <c r="V15" s="2">
        <f>-V10*'RPTS Breakeven Calculator'!$F$21/12</f>
        <v>-5000</v>
      </c>
      <c r="W15" s="2">
        <f>-W10*'RPTS Breakeven Calculator'!$F$21/12</f>
        <v>-5000</v>
      </c>
      <c r="X15" s="2">
        <f>-X10*'RPTS Breakeven Calculator'!$F$21/12</f>
        <v>-5000</v>
      </c>
      <c r="Y15" s="2">
        <f>-Y10*'RPTS Breakeven Calculator'!$F$21/12</f>
        <v>-5000</v>
      </c>
      <c r="Z15" s="2">
        <f>-Z10*'RPTS Breakeven Calculator'!$F$21/12</f>
        <v>-10000</v>
      </c>
      <c r="AA15" s="2">
        <f>-AA10*'RPTS Breakeven Calculator'!$F$21/12</f>
        <v>-10000</v>
      </c>
      <c r="AB15" s="2">
        <f>-AB10*'RPTS Breakeven Calculator'!$F$21/12</f>
        <v>-10000</v>
      </c>
      <c r="AC15" s="2">
        <f>-AC10*'RPTS Breakeven Calculator'!$F$21/12</f>
        <v>-10000</v>
      </c>
      <c r="AD15" s="2">
        <f>-AD10*'RPTS Breakeven Calculator'!$F$21/12</f>
        <v>-10000</v>
      </c>
      <c r="AE15" s="2">
        <f>-AE10*'RPTS Breakeven Calculator'!$F$21/12</f>
        <v>-10000</v>
      </c>
      <c r="AF15" s="2">
        <f>-AF10*'RPTS Breakeven Calculator'!$F$21/12</f>
        <v>-10000</v>
      </c>
      <c r="AG15" s="2">
        <f>-AG10*'RPTS Breakeven Calculator'!$F$21/12</f>
        <v>-10000</v>
      </c>
      <c r="AH15" s="2">
        <f>-AH10*'RPTS Breakeven Calculator'!$F$21/12</f>
        <v>-10000</v>
      </c>
      <c r="AI15" s="2">
        <f>-AI10*'RPTS Breakeven Calculator'!$F$21/12</f>
        <v>-10000</v>
      </c>
      <c r="AJ15" s="2">
        <f>-AJ10*'RPTS Breakeven Calculator'!$F$21/12</f>
        <v>-10000</v>
      </c>
      <c r="AK15" s="2">
        <f>-AK10*'RPTS Breakeven Calculator'!$F$21/12</f>
        <v>-10000</v>
      </c>
      <c r="AL15" s="2">
        <f>-AL10*'RPTS Breakeven Calculator'!$F$21/12</f>
        <v>-10000</v>
      </c>
      <c r="AM15" s="2">
        <f>-AM10*'RPTS Breakeven Calculator'!$F$21/12</f>
        <v>-10000</v>
      </c>
      <c r="AN15" s="2">
        <f>-AN10*'RPTS Breakeven Calculator'!$F$21/12</f>
        <v>-10000</v>
      </c>
      <c r="AO15" s="2">
        <f>-AO10*'RPTS Breakeven Calculator'!$F$21/12</f>
        <v>-10000</v>
      </c>
      <c r="AP15" s="2">
        <f>-AP10*'RPTS Breakeven Calculator'!$F$21/12</f>
        <v>-10000</v>
      </c>
      <c r="AQ15" s="2">
        <f>-AQ10*'RPTS Breakeven Calculator'!$F$21/12</f>
        <v>-10000</v>
      </c>
      <c r="AR15" s="2">
        <f>-AR10*'RPTS Breakeven Calculator'!$F$21/12</f>
        <v>-10000</v>
      </c>
      <c r="AS15" s="2">
        <f>-AS10*'RPTS Breakeven Calculator'!$F$21/12</f>
        <v>-10000</v>
      </c>
      <c r="AT15" s="2">
        <f>-AT10*'RPTS Breakeven Calculator'!$F$21/12</f>
        <v>-10000</v>
      </c>
      <c r="AU15" s="2">
        <f>-AU10*'RPTS Breakeven Calculator'!$F$21/12</f>
        <v>-10000</v>
      </c>
      <c r="AV15" s="2">
        <f>-AV10*'RPTS Breakeven Calculator'!$F$21/12</f>
        <v>-10000</v>
      </c>
      <c r="AW15" s="2">
        <f>-AW10*'RPTS Breakeven Calculator'!$F$21/12</f>
        <v>-10000</v>
      </c>
    </row>
    <row r="17" spans="1:49" x14ac:dyDescent="0.25">
      <c r="A17" s="20" t="s">
        <v>32</v>
      </c>
      <c r="B17" s="2">
        <f>-B4*'RPTS Breakeven Calculator'!$E$17</f>
        <v>-1333.3333333333335</v>
      </c>
      <c r="C17" s="2">
        <f>-C4*'RPTS Breakeven Calculator'!$E$17</f>
        <v>-1333.3333333333335</v>
      </c>
      <c r="D17" s="2">
        <f>-D4*'RPTS Breakeven Calculator'!$E$17</f>
        <v>-1333.3333333333335</v>
      </c>
      <c r="E17" s="2">
        <f>-E4*'RPTS Breakeven Calculator'!$E$17</f>
        <v>-1333.3333333333335</v>
      </c>
      <c r="F17" s="2">
        <f>-F4*'RPTS Breakeven Calculator'!$E$17</f>
        <v>-1333.3333333333335</v>
      </c>
      <c r="G17" s="2">
        <f>-G4*'RPTS Breakeven Calculator'!$E$17</f>
        <v>-1333.3333333333335</v>
      </c>
      <c r="H17" s="2">
        <f>-H4*'RPTS Breakeven Calculator'!$E$17</f>
        <v>-1333.3333333333335</v>
      </c>
      <c r="I17" s="2">
        <f>-I4*'RPTS Breakeven Calculator'!$E$17</f>
        <v>-1333.3333333333335</v>
      </c>
      <c r="J17" s="2">
        <f>-J4*'RPTS Breakeven Calculator'!$E$17</f>
        <v>-1333.3333333333335</v>
      </c>
      <c r="K17" s="2">
        <f>-K4*'RPTS Breakeven Calculator'!$E$17</f>
        <v>-1333.3333333333335</v>
      </c>
      <c r="L17" s="2">
        <f>-L4*'RPTS Breakeven Calculator'!$E$17</f>
        <v>-1333.3333333333335</v>
      </c>
      <c r="M17" s="2">
        <f>-M4*'RPTS Breakeven Calculator'!$E$17</f>
        <v>-1333.3333333333335</v>
      </c>
      <c r="N17" s="2">
        <f>-N4*'RPTS Breakeven Calculator'!$E$17</f>
        <v>-1333.3333333333335</v>
      </c>
      <c r="O17" s="2">
        <f>-O4*'RPTS Breakeven Calculator'!$E$17</f>
        <v>-1333.3333333333335</v>
      </c>
      <c r="P17" s="2">
        <f>-P4*'RPTS Breakeven Calculator'!$E$17</f>
        <v>-1333.3333333333335</v>
      </c>
      <c r="Q17" s="2">
        <f>-Q4*'RPTS Breakeven Calculator'!$E$17</f>
        <v>-1333.3333333333335</v>
      </c>
      <c r="R17" s="2">
        <f>-R4*'RPTS Breakeven Calculator'!$E$17</f>
        <v>-1333.3333333333335</v>
      </c>
      <c r="S17" s="2">
        <f>-S4*'RPTS Breakeven Calculator'!$E$17</f>
        <v>-1333.3333333333335</v>
      </c>
      <c r="T17" s="2">
        <f>-T4*'RPTS Breakeven Calculator'!$E$17</f>
        <v>-1333.3333333333335</v>
      </c>
      <c r="U17" s="2">
        <f>-U4*'RPTS Breakeven Calculator'!$E$17</f>
        <v>-1333.3333333333335</v>
      </c>
      <c r="V17" s="2">
        <f>-V4*'RPTS Breakeven Calculator'!$E$17</f>
        <v>-1333.3333333333335</v>
      </c>
      <c r="W17" s="2">
        <f>-W4*'RPTS Breakeven Calculator'!$E$17</f>
        <v>-1333.3333333333335</v>
      </c>
      <c r="X17" s="2">
        <f>-X4*'RPTS Breakeven Calculator'!$E$17</f>
        <v>-1333.3333333333335</v>
      </c>
      <c r="Y17" s="2">
        <f>-Y4*'RPTS Breakeven Calculator'!$E$17</f>
        <v>-1333.3333333333335</v>
      </c>
      <c r="Z17" s="2">
        <f>-Z4*'RPTS Breakeven Calculator'!$E$17</f>
        <v>-1333.3333333333335</v>
      </c>
      <c r="AA17" s="2">
        <f>-AA4*'RPTS Breakeven Calculator'!$E$17</f>
        <v>-1333.3333333333335</v>
      </c>
      <c r="AB17" s="2">
        <f>-AB4*'RPTS Breakeven Calculator'!$E$17</f>
        <v>-1333.3333333333335</v>
      </c>
      <c r="AC17" s="2">
        <f>-AC4*'RPTS Breakeven Calculator'!$E$17</f>
        <v>-1333.3333333333335</v>
      </c>
      <c r="AD17" s="2">
        <f>-AD4*'RPTS Breakeven Calculator'!$E$17</f>
        <v>-1333.3333333333335</v>
      </c>
      <c r="AE17" s="2">
        <f>-AE4*'RPTS Breakeven Calculator'!$E$17</f>
        <v>-1333.3333333333335</v>
      </c>
      <c r="AF17" s="2">
        <f>-AF4*'RPTS Breakeven Calculator'!$E$17</f>
        <v>-1333.3333333333335</v>
      </c>
      <c r="AG17" s="2">
        <f>-AG4*'RPTS Breakeven Calculator'!$E$17</f>
        <v>-1333.3333333333335</v>
      </c>
      <c r="AH17" s="2">
        <f>-AH4*'RPTS Breakeven Calculator'!$E$17</f>
        <v>-1333.3333333333335</v>
      </c>
      <c r="AI17" s="2">
        <f>-AI4*'RPTS Breakeven Calculator'!$E$17</f>
        <v>-1333.3333333333335</v>
      </c>
      <c r="AJ17" s="2">
        <f>-AJ4*'RPTS Breakeven Calculator'!$E$17</f>
        <v>-1333.3333333333335</v>
      </c>
      <c r="AK17" s="2">
        <f>-AK4*'RPTS Breakeven Calculator'!$E$17</f>
        <v>-1333.3333333333335</v>
      </c>
      <c r="AL17" s="2">
        <f>-AL4*'RPTS Breakeven Calculator'!$E$17</f>
        <v>-1333.3333333333335</v>
      </c>
      <c r="AM17" s="2">
        <f>-AM4*'RPTS Breakeven Calculator'!$E$17</f>
        <v>-1333.3333333333335</v>
      </c>
      <c r="AN17" s="2">
        <f>-AN4*'RPTS Breakeven Calculator'!$E$17</f>
        <v>-1333.3333333333335</v>
      </c>
      <c r="AO17" s="2">
        <f>-AO4*'RPTS Breakeven Calculator'!$E$17</f>
        <v>-1333.3333333333335</v>
      </c>
      <c r="AP17" s="2">
        <f>-AP4*'RPTS Breakeven Calculator'!$E$17</f>
        <v>-1333.3333333333335</v>
      </c>
      <c r="AQ17" s="2">
        <f>-AQ4*'RPTS Breakeven Calculator'!$E$17</f>
        <v>-1333.3333333333335</v>
      </c>
      <c r="AR17" s="2">
        <f>-AR4*'RPTS Breakeven Calculator'!$E$17</f>
        <v>-1333.3333333333335</v>
      </c>
      <c r="AS17" s="2">
        <f>-AS4*'RPTS Breakeven Calculator'!$E$17</f>
        <v>-1333.3333333333335</v>
      </c>
      <c r="AT17" s="2">
        <f>-AT4*'RPTS Breakeven Calculator'!$E$17</f>
        <v>-1333.3333333333335</v>
      </c>
      <c r="AU17" s="2">
        <f>-AU4*'RPTS Breakeven Calculator'!$E$17</f>
        <v>-1333.3333333333335</v>
      </c>
      <c r="AV17" s="2">
        <f>-AV4*'RPTS Breakeven Calculator'!$E$17</f>
        <v>-1333.3333333333335</v>
      </c>
      <c r="AW17" s="2">
        <f>-AW4*'RPTS Breakeven Calculator'!$E$17</f>
        <v>-1333.3333333333335</v>
      </c>
    </row>
    <row r="18" spans="1:49" x14ac:dyDescent="0.25">
      <c r="A18" s="20" t="s">
        <v>33</v>
      </c>
      <c r="B18" s="2">
        <f>-B4*'RPTS Breakeven Calculator'!$F$17</f>
        <v>-666.66666666666674</v>
      </c>
      <c r="C18" s="2">
        <f>-C4*'RPTS Breakeven Calculator'!$F$17</f>
        <v>-666.66666666666674</v>
      </c>
      <c r="D18" s="2">
        <f>-D4*'RPTS Breakeven Calculator'!$F$17</f>
        <v>-666.66666666666674</v>
      </c>
      <c r="E18" s="2">
        <f>-E4*'RPTS Breakeven Calculator'!$F$17</f>
        <v>-666.66666666666674</v>
      </c>
      <c r="F18" s="2">
        <f>-F4*'RPTS Breakeven Calculator'!$F$17</f>
        <v>-666.66666666666674</v>
      </c>
      <c r="G18" s="2">
        <f>-G4*'RPTS Breakeven Calculator'!$F$17</f>
        <v>-666.66666666666674</v>
      </c>
      <c r="H18" s="2">
        <f>-H4*'RPTS Breakeven Calculator'!$F$17</f>
        <v>-666.66666666666674</v>
      </c>
      <c r="I18" s="2">
        <f>-I4*'RPTS Breakeven Calculator'!$F$17</f>
        <v>-666.66666666666674</v>
      </c>
      <c r="J18" s="2">
        <f>-J4*'RPTS Breakeven Calculator'!$F$17</f>
        <v>-666.66666666666674</v>
      </c>
      <c r="K18" s="2">
        <f>-K4*'RPTS Breakeven Calculator'!$F$17</f>
        <v>-666.66666666666674</v>
      </c>
      <c r="L18" s="2">
        <f>-L4*'RPTS Breakeven Calculator'!$F$17</f>
        <v>-666.66666666666674</v>
      </c>
      <c r="M18" s="2">
        <f>-M4*'RPTS Breakeven Calculator'!$F$17</f>
        <v>-666.66666666666674</v>
      </c>
      <c r="N18" s="2">
        <f>-N4*'RPTS Breakeven Calculator'!$F$17</f>
        <v>-666.66666666666674</v>
      </c>
      <c r="O18" s="2">
        <f>-O4*'RPTS Breakeven Calculator'!$F$17</f>
        <v>-666.66666666666674</v>
      </c>
      <c r="P18" s="2">
        <f>-P4*'RPTS Breakeven Calculator'!$F$17</f>
        <v>-666.66666666666674</v>
      </c>
      <c r="Q18" s="2">
        <f>-Q4*'RPTS Breakeven Calculator'!$F$17</f>
        <v>-666.66666666666674</v>
      </c>
      <c r="R18" s="2">
        <f>-R4*'RPTS Breakeven Calculator'!$F$17</f>
        <v>-666.66666666666674</v>
      </c>
      <c r="S18" s="2">
        <f>-S4*'RPTS Breakeven Calculator'!$F$17</f>
        <v>-666.66666666666674</v>
      </c>
      <c r="T18" s="2">
        <f>-T4*'RPTS Breakeven Calculator'!$F$17</f>
        <v>-666.66666666666674</v>
      </c>
      <c r="U18" s="2">
        <f>-U4*'RPTS Breakeven Calculator'!$F$17</f>
        <v>-666.66666666666674</v>
      </c>
      <c r="V18" s="2">
        <f>-V4*'RPTS Breakeven Calculator'!$F$17</f>
        <v>-666.66666666666674</v>
      </c>
      <c r="W18" s="2">
        <f>-W4*'RPTS Breakeven Calculator'!$F$17</f>
        <v>-666.66666666666674</v>
      </c>
      <c r="X18" s="2">
        <f>-X4*'RPTS Breakeven Calculator'!$F$17</f>
        <v>-666.66666666666674</v>
      </c>
      <c r="Y18" s="2">
        <f>-Y4*'RPTS Breakeven Calculator'!$F$17</f>
        <v>-666.66666666666674</v>
      </c>
      <c r="Z18" s="2">
        <f>-Z4*'RPTS Breakeven Calculator'!$F$17</f>
        <v>-666.66666666666674</v>
      </c>
      <c r="AA18" s="2">
        <f>-AA4*'RPTS Breakeven Calculator'!$F$17</f>
        <v>-666.66666666666674</v>
      </c>
      <c r="AB18" s="2">
        <f>-AB4*'RPTS Breakeven Calculator'!$F$17</f>
        <v>-666.66666666666674</v>
      </c>
      <c r="AC18" s="2">
        <f>-AC4*'RPTS Breakeven Calculator'!$F$17</f>
        <v>-666.66666666666674</v>
      </c>
      <c r="AD18" s="2">
        <f>-AD4*'RPTS Breakeven Calculator'!$F$17</f>
        <v>-666.66666666666674</v>
      </c>
      <c r="AE18" s="2">
        <f>-AE4*'RPTS Breakeven Calculator'!$F$17</f>
        <v>-666.66666666666674</v>
      </c>
      <c r="AF18" s="2">
        <f>-AF4*'RPTS Breakeven Calculator'!$F$17</f>
        <v>-666.66666666666674</v>
      </c>
      <c r="AG18" s="2">
        <f>-AG4*'RPTS Breakeven Calculator'!$F$17</f>
        <v>-666.66666666666674</v>
      </c>
      <c r="AH18" s="2">
        <f>-AH4*'RPTS Breakeven Calculator'!$F$17</f>
        <v>-666.66666666666674</v>
      </c>
      <c r="AI18" s="2">
        <f>-AI4*'RPTS Breakeven Calculator'!$F$17</f>
        <v>-666.66666666666674</v>
      </c>
      <c r="AJ18" s="2">
        <f>-AJ4*'RPTS Breakeven Calculator'!$F$17</f>
        <v>-666.66666666666674</v>
      </c>
      <c r="AK18" s="2">
        <f>-AK4*'RPTS Breakeven Calculator'!$F$17</f>
        <v>-666.66666666666674</v>
      </c>
      <c r="AL18" s="2">
        <f>-AL4*'RPTS Breakeven Calculator'!$F$17</f>
        <v>-666.66666666666674</v>
      </c>
      <c r="AM18" s="2">
        <f>-AM4*'RPTS Breakeven Calculator'!$F$17</f>
        <v>-666.66666666666674</v>
      </c>
      <c r="AN18" s="2">
        <f>-AN4*'RPTS Breakeven Calculator'!$F$17</f>
        <v>-666.66666666666674</v>
      </c>
      <c r="AO18" s="2">
        <f>-AO4*'RPTS Breakeven Calculator'!$F$17</f>
        <v>-666.66666666666674</v>
      </c>
      <c r="AP18" s="2">
        <f>-AP4*'RPTS Breakeven Calculator'!$F$17</f>
        <v>-666.66666666666674</v>
      </c>
      <c r="AQ18" s="2">
        <f>-AQ4*'RPTS Breakeven Calculator'!$F$17</f>
        <v>-666.66666666666674</v>
      </c>
      <c r="AR18" s="2">
        <f>-AR4*'RPTS Breakeven Calculator'!$F$17</f>
        <v>-666.66666666666674</v>
      </c>
      <c r="AS18" s="2">
        <f>-AS4*'RPTS Breakeven Calculator'!$F$17</f>
        <v>-666.66666666666674</v>
      </c>
      <c r="AT18" s="2">
        <f>-AT4*'RPTS Breakeven Calculator'!$F$17</f>
        <v>-666.66666666666674</v>
      </c>
      <c r="AU18" s="2">
        <f>-AU4*'RPTS Breakeven Calculator'!$F$17</f>
        <v>-666.66666666666674</v>
      </c>
      <c r="AV18" s="2">
        <f>-AV4*'RPTS Breakeven Calculator'!$F$17</f>
        <v>-666.66666666666674</v>
      </c>
      <c r="AW18" s="2">
        <f>-AW4*'RPTS Breakeven Calculator'!$F$17</f>
        <v>-666.66666666666674</v>
      </c>
    </row>
    <row r="20" spans="1:49" x14ac:dyDescent="0.25">
      <c r="A20" s="20" t="s">
        <v>34</v>
      </c>
      <c r="B20" s="2">
        <f>B7+B12+B17+B15</f>
        <v>-239833.33333333334</v>
      </c>
      <c r="C20" s="2">
        <f>C7+C12+C17+C15</f>
        <v>-3333.3333333333335</v>
      </c>
      <c r="D20" s="2">
        <f t="shared" ref="D20:AW20" si="1">D7+D12+D17+D15</f>
        <v>-1833.3333333333335</v>
      </c>
      <c r="E20" s="2">
        <f t="shared" si="1"/>
        <v>-333.33333333333394</v>
      </c>
      <c r="F20" s="2">
        <f t="shared" si="1"/>
        <v>1166.6666666666679</v>
      </c>
      <c r="G20" s="2">
        <f t="shared" si="1"/>
        <v>2666.6666666666679</v>
      </c>
      <c r="H20" s="2">
        <f t="shared" si="1"/>
        <v>4166.6666666666679</v>
      </c>
      <c r="I20" s="2">
        <f t="shared" si="1"/>
        <v>5666.6666666666661</v>
      </c>
      <c r="J20" s="2">
        <f t="shared" si="1"/>
        <v>7166.6666666666661</v>
      </c>
      <c r="K20" s="2">
        <f t="shared" si="1"/>
        <v>8666.6666666666661</v>
      </c>
      <c r="L20" s="2">
        <f t="shared" si="1"/>
        <v>10166.666666666666</v>
      </c>
      <c r="M20" s="2">
        <f t="shared" si="1"/>
        <v>11666.666666666664</v>
      </c>
      <c r="N20" s="2">
        <f t="shared" si="1"/>
        <v>13091.666666666664</v>
      </c>
      <c r="O20" s="2">
        <f t="shared" si="1"/>
        <v>14516.666666666661</v>
      </c>
      <c r="P20" s="2">
        <f t="shared" si="1"/>
        <v>15941.666666666661</v>
      </c>
      <c r="Q20" s="2">
        <f t="shared" si="1"/>
        <v>17366.666666666661</v>
      </c>
      <c r="R20" s="2">
        <f t="shared" si="1"/>
        <v>18791.666666666664</v>
      </c>
      <c r="S20" s="2">
        <f t="shared" si="1"/>
        <v>20216.666666666668</v>
      </c>
      <c r="T20" s="2">
        <f t="shared" si="1"/>
        <v>21641.666666666672</v>
      </c>
      <c r="U20" s="2">
        <f t="shared" si="1"/>
        <v>23066.666666666675</v>
      </c>
      <c r="V20" s="2">
        <f t="shared" si="1"/>
        <v>24491.666666666679</v>
      </c>
      <c r="W20" s="2">
        <f t="shared" si="1"/>
        <v>25916.666666666682</v>
      </c>
      <c r="X20" s="2">
        <f t="shared" si="1"/>
        <v>27341.666666666682</v>
      </c>
      <c r="Y20" s="2">
        <f t="shared" si="1"/>
        <v>28766.666666666686</v>
      </c>
      <c r="Z20" s="2">
        <f t="shared" si="1"/>
        <v>25191.666666666686</v>
      </c>
      <c r="AA20" s="2">
        <f t="shared" si="1"/>
        <v>26616.666666666693</v>
      </c>
      <c r="AB20" s="2">
        <f t="shared" si="1"/>
        <v>28041.666666666693</v>
      </c>
      <c r="AC20" s="2">
        <f t="shared" si="1"/>
        <v>29466.666666666701</v>
      </c>
      <c r="AD20" s="2">
        <f t="shared" si="1"/>
        <v>30891.666666666701</v>
      </c>
      <c r="AE20" s="2">
        <f t="shared" si="1"/>
        <v>32316.666666666708</v>
      </c>
      <c r="AF20" s="2">
        <f t="shared" si="1"/>
        <v>33741.666666666708</v>
      </c>
      <c r="AG20" s="2">
        <f t="shared" si="1"/>
        <v>35166.666666666701</v>
      </c>
      <c r="AH20" s="2">
        <f t="shared" si="1"/>
        <v>36591.666666666693</v>
      </c>
      <c r="AI20" s="2">
        <f t="shared" si="1"/>
        <v>38016.666666666686</v>
      </c>
      <c r="AJ20" s="2">
        <f t="shared" si="1"/>
        <v>39441.666666666679</v>
      </c>
      <c r="AK20" s="2">
        <f t="shared" si="1"/>
        <v>40866.666666666672</v>
      </c>
      <c r="AL20" s="2">
        <f t="shared" si="1"/>
        <v>42291.666666666664</v>
      </c>
      <c r="AM20" s="2">
        <f t="shared" si="1"/>
        <v>43716.666666666664</v>
      </c>
      <c r="AN20" s="2">
        <f t="shared" si="1"/>
        <v>45141.666666666657</v>
      </c>
      <c r="AO20" s="2">
        <f t="shared" si="1"/>
        <v>46566.66666666665</v>
      </c>
      <c r="AP20" s="2">
        <f t="shared" si="1"/>
        <v>47991.666666666642</v>
      </c>
      <c r="AQ20" s="2">
        <f t="shared" si="1"/>
        <v>49416.666666666635</v>
      </c>
      <c r="AR20" s="2">
        <f t="shared" si="1"/>
        <v>50841.666666666628</v>
      </c>
      <c r="AS20" s="2">
        <f t="shared" si="1"/>
        <v>52266.666666666621</v>
      </c>
      <c r="AT20" s="2">
        <f t="shared" si="1"/>
        <v>53691.666666666613</v>
      </c>
      <c r="AU20" s="2">
        <f t="shared" si="1"/>
        <v>55116.666666666606</v>
      </c>
      <c r="AV20" s="2">
        <f t="shared" si="1"/>
        <v>56541.666666666613</v>
      </c>
      <c r="AW20" s="2">
        <f t="shared" si="1"/>
        <v>57966.666666666599</v>
      </c>
    </row>
    <row r="21" spans="1:49" x14ac:dyDescent="0.25">
      <c r="A21" s="20" t="s">
        <v>36</v>
      </c>
      <c r="B21" s="2">
        <f>B20</f>
        <v>-239833.33333333334</v>
      </c>
      <c r="C21" s="2">
        <f>C20+B21</f>
        <v>-243166.66666666669</v>
      </c>
      <c r="D21" s="2">
        <f t="shared" ref="D21:AW21" si="2">D20+C21</f>
        <v>-245000.00000000003</v>
      </c>
      <c r="E21" s="2">
        <f t="shared" si="2"/>
        <v>-245333.33333333337</v>
      </c>
      <c r="F21" s="2">
        <f t="shared" si="2"/>
        <v>-244166.66666666672</v>
      </c>
      <c r="G21" s="2">
        <f t="shared" si="2"/>
        <v>-241500.00000000006</v>
      </c>
      <c r="H21" s="2">
        <f t="shared" si="2"/>
        <v>-237333.3333333334</v>
      </c>
      <c r="I21" s="2">
        <f t="shared" si="2"/>
        <v>-231666.66666666674</v>
      </c>
      <c r="J21" s="2">
        <f t="shared" si="2"/>
        <v>-224500.00000000009</v>
      </c>
      <c r="K21" s="2">
        <f t="shared" si="2"/>
        <v>-215833.33333333343</v>
      </c>
      <c r="L21" s="2">
        <f t="shared" si="2"/>
        <v>-205666.66666666677</v>
      </c>
      <c r="M21" s="2">
        <f t="shared" si="2"/>
        <v>-194000.00000000012</v>
      </c>
      <c r="N21" s="2">
        <f t="shared" si="2"/>
        <v>-180908.33333333346</v>
      </c>
      <c r="O21" s="2">
        <f t="shared" si="2"/>
        <v>-166391.6666666668</v>
      </c>
      <c r="P21" s="2">
        <f t="shared" si="2"/>
        <v>-150450.00000000015</v>
      </c>
      <c r="Q21" s="2">
        <f t="shared" si="2"/>
        <v>-133083.33333333349</v>
      </c>
      <c r="R21" s="2">
        <f t="shared" si="2"/>
        <v>-114291.66666666683</v>
      </c>
      <c r="S21" s="2">
        <f t="shared" si="2"/>
        <v>-94075.00000000016</v>
      </c>
      <c r="T21" s="2">
        <f t="shared" si="2"/>
        <v>-72433.333333333489</v>
      </c>
      <c r="U21" s="2">
        <f t="shared" si="2"/>
        <v>-49366.666666666817</v>
      </c>
      <c r="V21" s="2">
        <f t="shared" si="2"/>
        <v>-24875.000000000138</v>
      </c>
      <c r="W21" s="2">
        <f t="shared" si="2"/>
        <v>1041.6666666665442</v>
      </c>
      <c r="X21" s="2">
        <f t="shared" si="2"/>
        <v>28383.333333333227</v>
      </c>
      <c r="Y21" s="2">
        <f t="shared" si="2"/>
        <v>57149.999999999913</v>
      </c>
      <c r="Z21" s="2">
        <f t="shared" si="2"/>
        <v>82341.666666666599</v>
      </c>
      <c r="AA21" s="2">
        <f t="shared" si="2"/>
        <v>108958.33333333328</v>
      </c>
      <c r="AB21" s="2">
        <f t="shared" si="2"/>
        <v>136999.99999999997</v>
      </c>
      <c r="AC21" s="2">
        <f t="shared" si="2"/>
        <v>166466.66666666669</v>
      </c>
      <c r="AD21" s="2">
        <f t="shared" si="2"/>
        <v>197358.33333333337</v>
      </c>
      <c r="AE21" s="2">
        <f t="shared" si="2"/>
        <v>229675.00000000009</v>
      </c>
      <c r="AF21" s="2">
        <f t="shared" si="2"/>
        <v>263416.6666666668</v>
      </c>
      <c r="AG21" s="2">
        <f t="shared" si="2"/>
        <v>298583.33333333349</v>
      </c>
      <c r="AH21" s="2">
        <f t="shared" si="2"/>
        <v>335175.00000000017</v>
      </c>
      <c r="AI21" s="2">
        <f t="shared" si="2"/>
        <v>373191.66666666686</v>
      </c>
      <c r="AJ21" s="2">
        <f t="shared" si="2"/>
        <v>412633.33333333355</v>
      </c>
      <c r="AK21" s="2">
        <f t="shared" si="2"/>
        <v>453500.00000000023</v>
      </c>
      <c r="AL21" s="2">
        <f t="shared" si="2"/>
        <v>495791.66666666692</v>
      </c>
      <c r="AM21" s="2">
        <f t="shared" si="2"/>
        <v>539508.3333333336</v>
      </c>
      <c r="AN21" s="2">
        <f t="shared" si="2"/>
        <v>584650.00000000023</v>
      </c>
      <c r="AO21" s="2">
        <f t="shared" si="2"/>
        <v>631216.66666666686</v>
      </c>
      <c r="AP21" s="2">
        <f t="shared" si="2"/>
        <v>679208.33333333349</v>
      </c>
      <c r="AQ21" s="2">
        <f t="shared" si="2"/>
        <v>728625.00000000012</v>
      </c>
      <c r="AR21" s="2">
        <f t="shared" si="2"/>
        <v>779466.66666666674</v>
      </c>
      <c r="AS21" s="2">
        <f t="shared" si="2"/>
        <v>831733.33333333337</v>
      </c>
      <c r="AT21" s="2">
        <f t="shared" si="2"/>
        <v>885425</v>
      </c>
      <c r="AU21" s="2">
        <f t="shared" si="2"/>
        <v>940541.66666666663</v>
      </c>
      <c r="AV21" s="2">
        <f t="shared" si="2"/>
        <v>997083.33333333326</v>
      </c>
      <c r="AW21" s="2">
        <f t="shared" si="2"/>
        <v>1055049.9999999998</v>
      </c>
    </row>
    <row r="23" spans="1:49" x14ac:dyDescent="0.25">
      <c r="A23" s="20" t="s">
        <v>35</v>
      </c>
      <c r="B23" s="2">
        <f t="shared" ref="B23:AW23" si="3">B8+B13+B18</f>
        <v>-2941.666666666667</v>
      </c>
      <c r="C23" s="2">
        <f t="shared" si="3"/>
        <v>-216.66666666666669</v>
      </c>
      <c r="D23" s="2">
        <f t="shared" si="3"/>
        <v>8.3333333333332575</v>
      </c>
      <c r="E23" s="2">
        <f t="shared" si="3"/>
        <v>233.33333333333337</v>
      </c>
      <c r="F23" s="2">
        <f t="shared" si="3"/>
        <v>458.33333333333348</v>
      </c>
      <c r="G23" s="2">
        <f t="shared" si="3"/>
        <v>683.33333333333348</v>
      </c>
      <c r="H23" s="2">
        <f t="shared" si="3"/>
        <v>908.33333333333348</v>
      </c>
      <c r="I23" s="2">
        <f t="shared" si="3"/>
        <v>1133.3333333333335</v>
      </c>
      <c r="J23" s="2">
        <f t="shared" si="3"/>
        <v>1358.3333333333333</v>
      </c>
      <c r="K23" s="2">
        <f t="shared" si="3"/>
        <v>1583.3333333333333</v>
      </c>
      <c r="L23" s="2">
        <f t="shared" si="3"/>
        <v>1808.3333333333328</v>
      </c>
      <c r="M23" s="2">
        <f t="shared" si="3"/>
        <v>2033.3333333333328</v>
      </c>
      <c r="N23" s="2">
        <f t="shared" si="3"/>
        <v>2247.083333333333</v>
      </c>
      <c r="O23" s="2">
        <f t="shared" si="3"/>
        <v>2460.8333333333321</v>
      </c>
      <c r="P23" s="2">
        <f t="shared" si="3"/>
        <v>2674.5833333333321</v>
      </c>
      <c r="Q23" s="2">
        <f t="shared" si="3"/>
        <v>2888.3333333333321</v>
      </c>
      <c r="R23" s="2">
        <f t="shared" si="3"/>
        <v>3102.083333333333</v>
      </c>
      <c r="S23" s="2">
        <f t="shared" si="3"/>
        <v>3315.833333333333</v>
      </c>
      <c r="T23" s="2">
        <f t="shared" si="3"/>
        <v>3529.5833333333339</v>
      </c>
      <c r="U23" s="2">
        <f t="shared" si="3"/>
        <v>3743.3333333333339</v>
      </c>
      <c r="V23" s="2">
        <f t="shared" si="3"/>
        <v>3957.0833333333348</v>
      </c>
      <c r="W23" s="2">
        <f t="shared" si="3"/>
        <v>4170.8333333333348</v>
      </c>
      <c r="X23" s="2">
        <f t="shared" si="3"/>
        <v>4384.5833333333358</v>
      </c>
      <c r="Y23" s="2">
        <f t="shared" si="3"/>
        <v>4598.3333333333358</v>
      </c>
      <c r="Z23" s="2">
        <f t="shared" si="3"/>
        <v>4812.0833333333367</v>
      </c>
      <c r="AA23" s="2">
        <f t="shared" si="3"/>
        <v>5025.8333333333367</v>
      </c>
      <c r="AB23" s="2">
        <f t="shared" si="3"/>
        <v>5239.5833333333376</v>
      </c>
      <c r="AC23" s="2">
        <f t="shared" si="3"/>
        <v>5453.3333333333385</v>
      </c>
      <c r="AD23" s="2">
        <f t="shared" si="3"/>
        <v>5667.0833333333385</v>
      </c>
      <c r="AE23" s="2">
        <f t="shared" si="3"/>
        <v>5880.8333333333394</v>
      </c>
      <c r="AF23" s="2">
        <f t="shared" si="3"/>
        <v>6094.5833333333394</v>
      </c>
      <c r="AG23" s="2">
        <f t="shared" si="3"/>
        <v>6308.3333333333385</v>
      </c>
      <c r="AH23" s="2">
        <f t="shared" si="3"/>
        <v>6522.0833333333376</v>
      </c>
      <c r="AI23" s="2">
        <f t="shared" si="3"/>
        <v>6735.8333333333367</v>
      </c>
      <c r="AJ23" s="2">
        <f t="shared" si="3"/>
        <v>6949.5833333333358</v>
      </c>
      <c r="AK23" s="2">
        <f t="shared" si="3"/>
        <v>7163.3333333333348</v>
      </c>
      <c r="AL23" s="2">
        <f t="shared" si="3"/>
        <v>7377.0833333333339</v>
      </c>
      <c r="AM23" s="2">
        <f t="shared" si="3"/>
        <v>7590.833333333333</v>
      </c>
      <c r="AN23" s="2">
        <f t="shared" si="3"/>
        <v>7804.5833333333312</v>
      </c>
      <c r="AO23" s="2">
        <f t="shared" si="3"/>
        <v>8018.3333333333312</v>
      </c>
      <c r="AP23" s="2">
        <f t="shared" si="3"/>
        <v>8232.0833333333303</v>
      </c>
      <c r="AQ23" s="2">
        <f t="shared" si="3"/>
        <v>8445.8333333333285</v>
      </c>
      <c r="AR23" s="2">
        <f t="shared" si="3"/>
        <v>8659.5833333333285</v>
      </c>
      <c r="AS23" s="2">
        <f t="shared" si="3"/>
        <v>8873.3333333333267</v>
      </c>
      <c r="AT23" s="2">
        <f t="shared" si="3"/>
        <v>9087.0833333333267</v>
      </c>
      <c r="AU23" s="2">
        <f t="shared" si="3"/>
        <v>9300.8333333333248</v>
      </c>
      <c r="AV23" s="2">
        <f t="shared" si="3"/>
        <v>9514.5833333333248</v>
      </c>
      <c r="AW23" s="2">
        <f t="shared" si="3"/>
        <v>9728.333333333323</v>
      </c>
    </row>
    <row r="24" spans="1:49" x14ac:dyDescent="0.25">
      <c r="A24" s="20" t="s">
        <v>37</v>
      </c>
      <c r="B24" s="2">
        <f>B23</f>
        <v>-2941.666666666667</v>
      </c>
      <c r="C24" s="2">
        <f>C23+B24</f>
        <v>-3158.3333333333335</v>
      </c>
      <c r="D24" s="2">
        <f t="shared" ref="D24:AW24" si="4">D23+C24</f>
        <v>-3150</v>
      </c>
      <c r="E24" s="2">
        <f t="shared" si="4"/>
        <v>-2916.6666666666665</v>
      </c>
      <c r="F24" s="2">
        <f t="shared" si="4"/>
        <v>-2458.333333333333</v>
      </c>
      <c r="G24" s="2">
        <f t="shared" si="4"/>
        <v>-1774.9999999999995</v>
      </c>
      <c r="H24" s="2">
        <f t="shared" si="4"/>
        <v>-866.66666666666606</v>
      </c>
      <c r="I24" s="2">
        <f t="shared" si="4"/>
        <v>266.66666666666742</v>
      </c>
      <c r="J24" s="2">
        <f t="shared" si="4"/>
        <v>1625.0000000000007</v>
      </c>
      <c r="K24" s="2">
        <f t="shared" si="4"/>
        <v>3208.3333333333339</v>
      </c>
      <c r="L24" s="2">
        <f t="shared" si="4"/>
        <v>5016.666666666667</v>
      </c>
      <c r="M24" s="2">
        <f t="shared" si="4"/>
        <v>7050</v>
      </c>
      <c r="N24" s="2">
        <f t="shared" si="4"/>
        <v>9297.0833333333321</v>
      </c>
      <c r="O24" s="2">
        <f t="shared" si="4"/>
        <v>11757.916666666664</v>
      </c>
      <c r="P24" s="2">
        <f t="shared" si="4"/>
        <v>14432.499999999996</v>
      </c>
      <c r="Q24" s="2">
        <f t="shared" si="4"/>
        <v>17320.833333333328</v>
      </c>
      <c r="R24" s="2">
        <f t="shared" si="4"/>
        <v>20422.916666666661</v>
      </c>
      <c r="S24" s="2">
        <f t="shared" si="4"/>
        <v>23738.749999999993</v>
      </c>
      <c r="T24" s="2">
        <f t="shared" si="4"/>
        <v>27268.333333333328</v>
      </c>
      <c r="U24" s="2">
        <f t="shared" si="4"/>
        <v>31011.666666666664</v>
      </c>
      <c r="V24" s="2">
        <f t="shared" si="4"/>
        <v>34968.75</v>
      </c>
      <c r="W24" s="2">
        <f t="shared" si="4"/>
        <v>39139.583333333336</v>
      </c>
      <c r="X24" s="2">
        <f t="shared" si="4"/>
        <v>43524.166666666672</v>
      </c>
      <c r="Y24" s="2">
        <f t="shared" si="4"/>
        <v>48122.500000000007</v>
      </c>
      <c r="Z24" s="2">
        <f t="shared" si="4"/>
        <v>52934.583333333343</v>
      </c>
      <c r="AA24" s="2">
        <f t="shared" si="4"/>
        <v>57960.416666666679</v>
      </c>
      <c r="AB24" s="2">
        <f t="shared" si="4"/>
        <v>63200.000000000015</v>
      </c>
      <c r="AC24" s="2">
        <f t="shared" si="4"/>
        <v>68653.333333333358</v>
      </c>
      <c r="AD24" s="2">
        <f t="shared" si="4"/>
        <v>74320.416666666701</v>
      </c>
      <c r="AE24" s="2">
        <f t="shared" si="4"/>
        <v>80201.250000000044</v>
      </c>
      <c r="AF24" s="2">
        <f t="shared" si="4"/>
        <v>86295.833333333387</v>
      </c>
      <c r="AG24" s="2">
        <f t="shared" si="4"/>
        <v>92604.16666666673</v>
      </c>
      <c r="AH24" s="2">
        <f t="shared" si="4"/>
        <v>99126.250000000073</v>
      </c>
      <c r="AI24" s="2">
        <f t="shared" si="4"/>
        <v>105862.08333333342</v>
      </c>
      <c r="AJ24" s="2">
        <f t="shared" si="4"/>
        <v>112811.66666666674</v>
      </c>
      <c r="AK24" s="2">
        <f t="shared" si="4"/>
        <v>119975.00000000007</v>
      </c>
      <c r="AL24" s="2">
        <f t="shared" si="4"/>
        <v>127352.0833333334</v>
      </c>
      <c r="AM24" s="2">
        <f t="shared" si="4"/>
        <v>134942.91666666674</v>
      </c>
      <c r="AN24" s="2">
        <f t="shared" si="4"/>
        <v>142747.50000000009</v>
      </c>
      <c r="AO24" s="2">
        <f t="shared" si="4"/>
        <v>150765.83333333343</v>
      </c>
      <c r="AP24" s="2">
        <f t="shared" si="4"/>
        <v>158997.91666666677</v>
      </c>
      <c r="AQ24" s="2">
        <f t="shared" si="4"/>
        <v>167443.75000000012</v>
      </c>
      <c r="AR24" s="2">
        <f t="shared" si="4"/>
        <v>176103.33333333343</v>
      </c>
      <c r="AS24" s="2">
        <f t="shared" si="4"/>
        <v>184976.66666666674</v>
      </c>
      <c r="AT24" s="2">
        <f t="shared" si="4"/>
        <v>194063.75000000006</v>
      </c>
      <c r="AU24" s="2">
        <f t="shared" si="4"/>
        <v>203364.58333333337</v>
      </c>
      <c r="AV24" s="2">
        <f t="shared" si="4"/>
        <v>212879.16666666669</v>
      </c>
      <c r="AW24" s="2">
        <f t="shared" si="4"/>
        <v>222607.5</v>
      </c>
    </row>
    <row r="26" spans="1:49" x14ac:dyDescent="0.25">
      <c r="B26" s="1">
        <v>1</v>
      </c>
      <c r="C26" s="1">
        <v>2</v>
      </c>
      <c r="D26" s="1">
        <v>3</v>
      </c>
      <c r="E26" s="1">
        <v>4</v>
      </c>
    </row>
    <row r="27" spans="1:49" x14ac:dyDescent="0.25">
      <c r="A27" s="37" t="s">
        <v>70</v>
      </c>
      <c r="B27" s="38">
        <f>M5</f>
        <v>399.99999999999994</v>
      </c>
      <c r="C27" s="38">
        <f>Y5</f>
        <v>780.00000000000045</v>
      </c>
      <c r="D27" s="38">
        <f>AK5</f>
        <v>1160.0000000000002</v>
      </c>
      <c r="E27" s="38">
        <f>AW5</f>
        <v>1539.9999999999984</v>
      </c>
    </row>
  </sheetData>
  <sheetProtection algorithmName="SHA-512" hashValue="WNTdQL1oAF56SCCHWsTqz66Z9qma9P429mhcKRUlBPpq+whjUBCVpPB0ZCjz31IEy7xagCyRalwdsO3S/ZZASA==" saltValue="B13/xkhx7xZn9TTcaGCJfw==" spinCount="100000"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KB Article" ma:contentTypeID="0x0101001D27F52787CB344A8D5732B56A2413B1008D2DF067C586DC4A80A5FBB22502AE48" ma:contentTypeVersion="5" ma:contentTypeDescription="Knowledgebase Article for NIST Asist Operations." ma:contentTypeScope="" ma:versionID="273858765c57f9f21ac48d2234ce64cd">
  <xsd:schema xmlns:xsd="http://www.w3.org/2001/XMLSchema" xmlns:xs="http://www.w3.org/2001/XMLSchema" xmlns:p="http://schemas.microsoft.com/office/2006/metadata/properties" xmlns:ns2="cddfbb08-8c45-434e-8ae5-bee491fdbdc6" targetNamespace="http://schemas.microsoft.com/office/2006/metadata/properties" ma:root="true" ma:fieldsID="0482321b974e7bb5975663c4c0cd23b4" ns2:_="">
    <xsd:import namespace="cddfbb08-8c45-434e-8ae5-bee491fdbdc6"/>
    <xsd:element name="properties">
      <xsd:complexType>
        <xsd:sequence>
          <xsd:element name="documentManagement">
            <xsd:complexType>
              <xsd:all>
                <xsd:element ref="ns2:Tenant" minOccurs="0"/>
                <xsd:element ref="ns2:Article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dfbb08-8c45-434e-8ae5-bee491fdbdc6" elementFormDefault="qualified">
    <xsd:import namespace="http://schemas.microsoft.com/office/2006/documentManagement/types"/>
    <xsd:import namespace="http://schemas.microsoft.com/office/infopath/2007/PartnerControls"/>
    <xsd:element name="Tenant" ma:index="8" nillable="true" ma:displayName="Tenant" ma:default="NA" ma:description="Please provide the tenant this KBA applies to if applicable." ma:internalName="Tenant">
      <xsd:simpleType>
        <xsd:restriction base="dms:Text">
          <xsd:maxLength value="255"/>
        </xsd:restriction>
      </xsd:simpleType>
    </xsd:element>
    <xsd:element name="Article_x0020_Type" ma:index="9" nillable="true" ma:displayName="Article Type" ma:default="NIST SOP" ma:description="What type of Knowledgebase Article is this?" ma:format="Dropdown" ma:internalName="Article_x0020_Type">
      <xsd:simpleType>
        <xsd:restriction base="dms:Choice">
          <xsd:enumeration value="NIST SOP"/>
          <xsd:enumeration value="How To"/>
          <xsd:enumeration value="FAQ"/>
          <xsd:enumeration value="Form"/>
          <xsd:enumeration value="Workflow"/>
          <xsd:enumeration value="Cust SOP"/>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0bc77436-f026-4174-97dc-5fd7a18b0982" ContentTypeId="0x0101001D27F52787CB344A8D5732B56A2413B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664D0B-A939-4119-AC6A-16F878163D73}"/>
</file>

<file path=customXml/itemProps2.xml><?xml version="1.0" encoding="utf-8"?>
<ds:datastoreItem xmlns:ds="http://schemas.openxmlformats.org/officeDocument/2006/customXml" ds:itemID="{4F70B169-75C1-4546-85F9-59C6857F5A6B}"/>
</file>

<file path=customXml/itemProps3.xml><?xml version="1.0" encoding="utf-8"?>
<ds:datastoreItem xmlns:ds="http://schemas.openxmlformats.org/officeDocument/2006/customXml" ds:itemID="{B8A2E33C-A993-4C4E-9A38-540B78855C8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Introduction</vt:lpstr>
      <vt:lpstr>Guidance</vt:lpstr>
      <vt:lpstr>RPTS Breakeven Calculator</vt:lpstr>
      <vt:lpstr>Detailed Calculations</vt:lpstr>
      <vt:lpstr>Guidance!_Toc438110890</vt:lpstr>
      <vt:lpstr>Guidance!_Toc438110891</vt:lpstr>
      <vt:lpstr>Guidance!_Toc438110892</vt:lpstr>
      <vt:lpstr>Guidance!_Toc438110893</vt:lpstr>
      <vt:lpstr>Guidance!_Toc438110894</vt:lpstr>
      <vt:lpstr>Guidance!_Toc438110895</vt:lpstr>
      <vt:lpstr>Guidance!_Toc438110896</vt:lpstr>
      <vt:lpstr>Guidance!_Toc438110897</vt:lpstr>
      <vt:lpstr>Guidance!_Toc438110898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Willmer</dc:creator>
  <cp:lastModifiedBy>Scott M Parramore</cp:lastModifiedBy>
  <dcterms:created xsi:type="dcterms:W3CDTF">2015-12-16T22:31:21Z</dcterms:created>
  <dcterms:modified xsi:type="dcterms:W3CDTF">2023-02-01T17:33:21Z</dcterms:modified>
</cp:coreProperties>
</file>