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eadypool-my.sharepoint.com/personal/scott_nistassist_com/Documents/RPTS Business/"/>
    </mc:Choice>
  </mc:AlternateContent>
  <xr:revisionPtr revIDLastSave="0" documentId="8_{35EE59E8-3EDE-44AB-B3DB-AB316F68AB9B}" xr6:coauthVersionLast="47" xr6:coauthVersionMax="47" xr10:uidLastSave="{00000000-0000-0000-0000-000000000000}"/>
  <bookViews>
    <workbookView xWindow="1110" yWindow="1170" windowWidth="27690" windowHeight="14130" tabRatio="965" activeTab="1" xr2:uid="{00000000-000D-0000-FFFF-FFFF00000000}"/>
  </bookViews>
  <sheets>
    <sheet name="Key Business Variables" sheetId="44" r:id="rId1"/>
    <sheet name="P&amp;L Impact" sheetId="30" r:id="rId2"/>
    <sheet name="Cash Flow Impact" sheetId="39" r:id="rId3"/>
    <sheet name="Core Calculations" sheetId="31" state="hidden" r:id="rId4"/>
  </sheets>
  <definedNames>
    <definedName name="PaymentFrequency">'Key Business Variables'!#REF!</definedName>
    <definedName name="rationaliz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44" l="1"/>
  <c r="D13" i="30" l="1"/>
  <c r="D20" i="30"/>
  <c r="D19" i="30"/>
  <c r="A37" i="31"/>
  <c r="A38" i="31"/>
  <c r="A32" i="31"/>
  <c r="A19" i="31"/>
  <c r="A39" i="31" s="1"/>
  <c r="A15" i="31"/>
  <c r="A35" i="31" s="1"/>
  <c r="D10" i="30"/>
  <c r="D9" i="30"/>
  <c r="D6" i="30"/>
  <c r="D7" i="30"/>
  <c r="A14" i="31"/>
  <c r="A34" i="31" s="1"/>
  <c r="A16" i="31"/>
  <c r="A36" i="31" s="1"/>
  <c r="A13" i="31"/>
  <c r="A33" i="31" s="1"/>
  <c r="B25" i="31"/>
  <c r="C25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AC25" i="31"/>
  <c r="AD25" i="31"/>
  <c r="AE25" i="31"/>
  <c r="AF25" i="31"/>
  <c r="AG25" i="31"/>
  <c r="AH25" i="31"/>
  <c r="AI25" i="31"/>
  <c r="AJ25" i="31"/>
  <c r="AK25" i="31"/>
  <c r="AL25" i="31"/>
  <c r="AM25" i="31"/>
  <c r="AN25" i="31"/>
  <c r="AO25" i="31"/>
  <c r="AP25" i="31"/>
  <c r="AQ25" i="31"/>
  <c r="AR25" i="31"/>
  <c r="AS25" i="31"/>
  <c r="AT25" i="31"/>
  <c r="AU25" i="31"/>
  <c r="AV25" i="31"/>
  <c r="AW25" i="31"/>
  <c r="AM24" i="31"/>
  <c r="AN24" i="31"/>
  <c r="AO24" i="31"/>
  <c r="AP24" i="31"/>
  <c r="AQ24" i="31"/>
  <c r="AR24" i="31"/>
  <c r="AS24" i="31"/>
  <c r="AT24" i="31"/>
  <c r="AU24" i="31"/>
  <c r="AV24" i="31"/>
  <c r="AW24" i="31"/>
  <c r="AL24" i="31"/>
  <c r="AA24" i="31"/>
  <c r="AB24" i="31"/>
  <c r="AC24" i="31"/>
  <c r="AD24" i="31"/>
  <c r="AE24" i="31"/>
  <c r="AF24" i="31"/>
  <c r="AG24" i="31"/>
  <c r="AH24" i="31"/>
  <c r="AI24" i="31"/>
  <c r="AJ24" i="31"/>
  <c r="AK24" i="31"/>
  <c r="Z24" i="31"/>
  <c r="O24" i="31"/>
  <c r="P24" i="31"/>
  <c r="Q24" i="31"/>
  <c r="R24" i="31"/>
  <c r="S24" i="31"/>
  <c r="T24" i="31"/>
  <c r="U24" i="31"/>
  <c r="V24" i="31"/>
  <c r="W24" i="31"/>
  <c r="X24" i="31"/>
  <c r="Y24" i="31"/>
  <c r="N24" i="31"/>
  <c r="C24" i="31"/>
  <c r="D24" i="31"/>
  <c r="E24" i="31"/>
  <c r="F24" i="31"/>
  <c r="G24" i="31"/>
  <c r="H24" i="31"/>
  <c r="I24" i="31"/>
  <c r="J24" i="31"/>
  <c r="K24" i="31"/>
  <c r="L24" i="31"/>
  <c r="M24" i="31"/>
  <c r="B24" i="31"/>
  <c r="A25" i="31"/>
  <c r="A45" i="31" s="1"/>
  <c r="A24" i="31"/>
  <c r="A44" i="31" s="1"/>
  <c r="B21" i="31"/>
  <c r="C21" i="31"/>
  <c r="D21" i="31"/>
  <c r="E21" i="31"/>
  <c r="F21" i="31"/>
  <c r="G21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T21" i="31"/>
  <c r="U21" i="31"/>
  <c r="V21" i="31"/>
  <c r="W21" i="31"/>
  <c r="X21" i="31"/>
  <c r="Y21" i="3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AL21" i="31"/>
  <c r="AM21" i="31"/>
  <c r="AN21" i="31"/>
  <c r="AO21" i="31"/>
  <c r="AP21" i="31"/>
  <c r="AQ21" i="31"/>
  <c r="AR21" i="31"/>
  <c r="AS21" i="31"/>
  <c r="AT21" i="31"/>
  <c r="AU21" i="31"/>
  <c r="AV21" i="31"/>
  <c r="AW21" i="31"/>
  <c r="B22" i="31"/>
  <c r="C22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AD22" i="31"/>
  <c r="AE22" i="31"/>
  <c r="AF22" i="31"/>
  <c r="AG22" i="31"/>
  <c r="AH22" i="31"/>
  <c r="AI22" i="31"/>
  <c r="AJ22" i="31"/>
  <c r="AK22" i="31"/>
  <c r="AL22" i="31"/>
  <c r="AM22" i="31"/>
  <c r="AN22" i="31"/>
  <c r="AO22" i="31"/>
  <c r="AP22" i="31"/>
  <c r="AQ22" i="31"/>
  <c r="AR22" i="31"/>
  <c r="AS22" i="31"/>
  <c r="AT22" i="31"/>
  <c r="AU22" i="31"/>
  <c r="AV22" i="31"/>
  <c r="AW22" i="31"/>
  <c r="B23" i="31"/>
  <c r="C23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AI23" i="31"/>
  <c r="AJ23" i="31"/>
  <c r="AK23" i="31"/>
  <c r="AL23" i="31"/>
  <c r="AM23" i="31"/>
  <c r="AN23" i="31"/>
  <c r="AO23" i="31"/>
  <c r="AP23" i="31"/>
  <c r="AQ23" i="31"/>
  <c r="AR23" i="31"/>
  <c r="AS23" i="31"/>
  <c r="AT23" i="31"/>
  <c r="AU23" i="31"/>
  <c r="AV23" i="31"/>
  <c r="AW23" i="31"/>
  <c r="AM20" i="31"/>
  <c r="AN20" i="31"/>
  <c r="AO20" i="31"/>
  <c r="AP20" i="31"/>
  <c r="AQ20" i="31"/>
  <c r="AR20" i="31"/>
  <c r="AS20" i="31"/>
  <c r="AT20" i="31"/>
  <c r="AU20" i="31"/>
  <c r="AV20" i="31"/>
  <c r="AW20" i="31"/>
  <c r="AL20" i="31"/>
  <c r="AA20" i="31"/>
  <c r="AB20" i="31"/>
  <c r="AC20" i="31"/>
  <c r="AD20" i="31"/>
  <c r="AE20" i="31"/>
  <c r="AF20" i="31"/>
  <c r="AG20" i="31"/>
  <c r="AH20" i="31"/>
  <c r="AI20" i="31"/>
  <c r="AJ20" i="31"/>
  <c r="AK20" i="31"/>
  <c r="Z20" i="31"/>
  <c r="O20" i="31"/>
  <c r="P20" i="31"/>
  <c r="Q20" i="31"/>
  <c r="R20" i="31"/>
  <c r="S20" i="31"/>
  <c r="T20" i="31"/>
  <c r="U20" i="31"/>
  <c r="V20" i="31"/>
  <c r="W20" i="31"/>
  <c r="X20" i="31"/>
  <c r="Y20" i="31"/>
  <c r="N20" i="31"/>
  <c r="B20" i="31"/>
  <c r="C20" i="31"/>
  <c r="D20" i="31"/>
  <c r="E20" i="31"/>
  <c r="F20" i="31"/>
  <c r="G20" i="31"/>
  <c r="H20" i="31"/>
  <c r="I20" i="31"/>
  <c r="J20" i="31"/>
  <c r="K20" i="31"/>
  <c r="L20" i="31"/>
  <c r="M20" i="31"/>
  <c r="A21" i="31"/>
  <c r="A41" i="31" s="1"/>
  <c r="A22" i="31"/>
  <c r="A42" i="31" s="1"/>
  <c r="A23" i="31"/>
  <c r="A43" i="31" s="1"/>
  <c r="A20" i="31"/>
  <c r="A40" i="31" s="1"/>
  <c r="AM4" i="31"/>
  <c r="AN4" i="31"/>
  <c r="AO4" i="31"/>
  <c r="AP4" i="31"/>
  <c r="AQ4" i="31"/>
  <c r="AR4" i="31"/>
  <c r="AS4" i="31"/>
  <c r="AT4" i="31"/>
  <c r="AU4" i="31"/>
  <c r="AV4" i="31"/>
  <c r="AW4" i="31"/>
  <c r="AL4" i="31"/>
  <c r="AA4" i="31"/>
  <c r="AB4" i="31"/>
  <c r="AC4" i="31"/>
  <c r="AD4" i="31"/>
  <c r="AE4" i="31"/>
  <c r="AF4" i="31"/>
  <c r="AG4" i="31"/>
  <c r="AH4" i="31"/>
  <c r="AI4" i="31"/>
  <c r="AJ4" i="31"/>
  <c r="AK4" i="31"/>
  <c r="Z4" i="31"/>
  <c r="O4" i="31"/>
  <c r="P4" i="31"/>
  <c r="Q4" i="31"/>
  <c r="R4" i="31"/>
  <c r="S4" i="31"/>
  <c r="T4" i="31"/>
  <c r="U4" i="31"/>
  <c r="V4" i="31"/>
  <c r="W4" i="31"/>
  <c r="X4" i="31"/>
  <c r="Y4" i="31"/>
  <c r="N4" i="31"/>
  <c r="C4" i="31"/>
  <c r="D4" i="31"/>
  <c r="E4" i="31"/>
  <c r="F4" i="31"/>
  <c r="G4" i="31"/>
  <c r="H4" i="31"/>
  <c r="I4" i="31"/>
  <c r="J4" i="31"/>
  <c r="K4" i="31"/>
  <c r="L4" i="31"/>
  <c r="M4" i="31"/>
  <c r="B4" i="31"/>
  <c r="B5" i="31" s="1"/>
  <c r="I22" i="44"/>
  <c r="K48" i="31"/>
  <c r="L48" i="31" s="1"/>
  <c r="L47" i="31"/>
  <c r="B9" i="31" l="1"/>
  <c r="B14" i="31" s="1"/>
  <c r="B7" i="31"/>
  <c r="B15" i="31" s="1"/>
  <c r="E13" i="31"/>
  <c r="M13" i="31"/>
  <c r="L13" i="31"/>
  <c r="K13" i="31"/>
  <c r="C13" i="31"/>
  <c r="S13" i="31"/>
  <c r="AI13" i="31"/>
  <c r="AA13" i="31"/>
  <c r="AQ13" i="31"/>
  <c r="J13" i="31"/>
  <c r="N13" i="31"/>
  <c r="R13" i="31"/>
  <c r="AH13" i="31"/>
  <c r="AL13" i="31"/>
  <c r="AP13" i="31"/>
  <c r="I13" i="31"/>
  <c r="Y13" i="31"/>
  <c r="Q13" i="31"/>
  <c r="AG13" i="31"/>
  <c r="AW13" i="31"/>
  <c r="AO13" i="31"/>
  <c r="K47" i="31"/>
  <c r="H13" i="31"/>
  <c r="X13" i="31"/>
  <c r="P13" i="31"/>
  <c r="AF13" i="31"/>
  <c r="AV13" i="31"/>
  <c r="AN13" i="31"/>
  <c r="G13" i="31"/>
  <c r="W13" i="31"/>
  <c r="O13" i="31"/>
  <c r="AE13" i="31"/>
  <c r="AU13" i="31"/>
  <c r="AM13" i="31"/>
  <c r="F13" i="31"/>
  <c r="V13" i="31"/>
  <c r="Z13" i="31"/>
  <c r="AD13" i="31"/>
  <c r="AT13" i="31"/>
  <c r="U13" i="31"/>
  <c r="AK13" i="31"/>
  <c r="AC13" i="31"/>
  <c r="AS13" i="31"/>
  <c r="D13" i="31"/>
  <c r="T13" i="31"/>
  <c r="AJ13" i="31"/>
  <c r="AB13" i="31"/>
  <c r="AR13" i="31"/>
  <c r="E43" i="31"/>
  <c r="C43" i="31"/>
  <c r="E42" i="31"/>
  <c r="E41" i="31"/>
  <c r="B40" i="31"/>
  <c r="C42" i="31"/>
  <c r="C41" i="31"/>
  <c r="B43" i="31"/>
  <c r="B41" i="31"/>
  <c r="D45" i="31"/>
  <c r="I20" i="30" s="1"/>
  <c r="B45" i="31"/>
  <c r="D40" i="31"/>
  <c r="B44" i="31"/>
  <c r="E19" i="30" s="1"/>
  <c r="D44" i="31"/>
  <c r="I19" i="30" s="1"/>
  <c r="E40" i="31"/>
  <c r="E45" i="31"/>
  <c r="K20" i="30" s="1"/>
  <c r="C45" i="31"/>
  <c r="G20" i="30" s="1"/>
  <c r="C40" i="31"/>
  <c r="C44" i="31"/>
  <c r="G19" i="30" s="1"/>
  <c r="E44" i="31"/>
  <c r="K19" i="30" s="1"/>
  <c r="D43" i="31"/>
  <c r="D42" i="31"/>
  <c r="B42" i="31"/>
  <c r="D41" i="31"/>
  <c r="B13" i="31"/>
  <c r="C5" i="31"/>
  <c r="D33" i="31" l="1"/>
  <c r="C33" i="31"/>
  <c r="E33" i="31"/>
  <c r="K15" i="30"/>
  <c r="F45" i="31"/>
  <c r="E20" i="30"/>
  <c r="F40" i="31"/>
  <c r="G15" i="30"/>
  <c r="I15" i="30"/>
  <c r="E15" i="30"/>
  <c r="F42" i="31"/>
  <c r="F41" i="31"/>
  <c r="F43" i="31"/>
  <c r="J58" i="31"/>
  <c r="M48" i="31" s="1"/>
  <c r="B33" i="31"/>
  <c r="J55" i="31"/>
  <c r="M47" i="31" s="1"/>
  <c r="F44" i="31"/>
  <c r="B19" i="31"/>
  <c r="D5" i="31"/>
  <c r="C9" i="31"/>
  <c r="C7" i="31"/>
  <c r="C15" i="31" s="1"/>
  <c r="C19" i="31" s="1"/>
  <c r="B10" i="31"/>
  <c r="B16" i="31" s="1"/>
  <c r="J59" i="31" l="1"/>
  <c r="N48" i="31" s="1"/>
  <c r="O48" i="31" s="1"/>
  <c r="P48" i="31" s="1"/>
  <c r="E9" i="30"/>
  <c r="L55" i="44"/>
  <c r="K9" i="30"/>
  <c r="O55" i="44"/>
  <c r="G9" i="30"/>
  <c r="M55" i="44"/>
  <c r="I9" i="30"/>
  <c r="N55" i="44"/>
  <c r="J56" i="31"/>
  <c r="N47" i="31" s="1"/>
  <c r="O47" i="31" s="1"/>
  <c r="P47" i="31" s="1"/>
  <c r="F33" i="31"/>
  <c r="C14" i="31"/>
  <c r="B27" i="31"/>
  <c r="E5" i="31"/>
  <c r="D9" i="31"/>
  <c r="D7" i="31"/>
  <c r="D15" i="31" s="1"/>
  <c r="D19" i="31" s="1"/>
  <c r="C10" i="31"/>
  <c r="C16" i="31" s="1"/>
  <c r="E9" i="44"/>
  <c r="D14" i="31" l="1"/>
  <c r="C27" i="31"/>
  <c r="D10" i="31"/>
  <c r="D16" i="31" s="1"/>
  <c r="F5" i="31"/>
  <c r="E9" i="31"/>
  <c r="E7" i="31"/>
  <c r="E15" i="31" s="1"/>
  <c r="E19" i="31" s="1"/>
  <c r="D27" i="31" l="1"/>
  <c r="E14" i="31"/>
  <c r="E10" i="31"/>
  <c r="E16" i="31" s="1"/>
  <c r="G5" i="31"/>
  <c r="F9" i="31"/>
  <c r="F7" i="31"/>
  <c r="F15" i="31" s="1"/>
  <c r="F19" i="31" s="1"/>
  <c r="E27" i="31" l="1"/>
  <c r="F14" i="31"/>
  <c r="F10" i="31"/>
  <c r="F16" i="31" s="1"/>
  <c r="H5" i="31"/>
  <c r="G9" i="31"/>
  <c r="G7" i="31"/>
  <c r="G15" i="31" s="1"/>
  <c r="G19" i="31" s="1"/>
  <c r="G14" i="31" l="1"/>
  <c r="F27" i="31"/>
  <c r="G10" i="31"/>
  <c r="G16" i="31" s="1"/>
  <c r="I5" i="31"/>
  <c r="H7" i="31"/>
  <c r="H15" i="31" s="1"/>
  <c r="H19" i="31" s="1"/>
  <c r="H9" i="31"/>
  <c r="I19" i="44"/>
  <c r="G27" i="31" l="1"/>
  <c r="H14" i="31"/>
  <c r="H10" i="31"/>
  <c r="H16" i="31" s="1"/>
  <c r="J5" i="31"/>
  <c r="I9" i="31"/>
  <c r="I7" i="31"/>
  <c r="I15" i="31" s="1"/>
  <c r="I19" i="31" s="1"/>
  <c r="H27" i="31" l="1"/>
  <c r="I14" i="31"/>
  <c r="I10" i="31"/>
  <c r="I16" i="31" s="1"/>
  <c r="K5" i="31"/>
  <c r="J9" i="31"/>
  <c r="J7" i="31"/>
  <c r="J15" i="31" s="1"/>
  <c r="J19" i="31" s="1"/>
  <c r="I27" i="31" l="1"/>
  <c r="J14" i="31"/>
  <c r="J10" i="31"/>
  <c r="J16" i="31" s="1"/>
  <c r="L5" i="31"/>
  <c r="K9" i="31"/>
  <c r="K7" i="31"/>
  <c r="K15" i="31" s="1"/>
  <c r="K19" i="31" s="1"/>
  <c r="K14" i="31" l="1"/>
  <c r="J27" i="31"/>
  <c r="K10" i="31"/>
  <c r="K16" i="31" s="1"/>
  <c r="M5" i="31"/>
  <c r="L9" i="31"/>
  <c r="L7" i="31"/>
  <c r="L15" i="31" s="1"/>
  <c r="L19" i="31" s="1"/>
  <c r="K27" i="31" l="1"/>
  <c r="L14" i="31"/>
  <c r="L10" i="31"/>
  <c r="L16" i="31" s="1"/>
  <c r="N5" i="31"/>
  <c r="O5" i="31" s="1"/>
  <c r="P5" i="31" s="1"/>
  <c r="Q5" i="31" s="1"/>
  <c r="R5" i="31" s="1"/>
  <c r="S5" i="31" s="1"/>
  <c r="T5" i="31" s="1"/>
  <c r="U5" i="31" s="1"/>
  <c r="V5" i="31" s="1"/>
  <c r="W5" i="31" s="1"/>
  <c r="X5" i="31" s="1"/>
  <c r="Y5" i="31" s="1"/>
  <c r="Z5" i="31" s="1"/>
  <c r="AA5" i="31" s="1"/>
  <c r="AB5" i="31" s="1"/>
  <c r="AC5" i="31" s="1"/>
  <c r="AD5" i="31" s="1"/>
  <c r="AE5" i="31" s="1"/>
  <c r="AF5" i="31" s="1"/>
  <c r="AG5" i="31" s="1"/>
  <c r="AH5" i="31" s="1"/>
  <c r="AI5" i="31" s="1"/>
  <c r="AJ5" i="31" s="1"/>
  <c r="AK5" i="31" s="1"/>
  <c r="AL5" i="31" s="1"/>
  <c r="AM5" i="31" s="1"/>
  <c r="AN5" i="31" s="1"/>
  <c r="AO5" i="31" s="1"/>
  <c r="AP5" i="31" s="1"/>
  <c r="AQ5" i="31" s="1"/>
  <c r="AR5" i="31" s="1"/>
  <c r="AS5" i="31" s="1"/>
  <c r="AT5" i="31" s="1"/>
  <c r="AU5" i="31" s="1"/>
  <c r="AV5" i="31" s="1"/>
  <c r="AW5" i="31" s="1"/>
  <c r="M9" i="31"/>
  <c r="M7" i="31"/>
  <c r="E10" i="44"/>
  <c r="E11" i="44"/>
  <c r="E12" i="44"/>
  <c r="M15" i="31" l="1"/>
  <c r="B35" i="31" s="1"/>
  <c r="L57" i="44" s="1"/>
  <c r="L61" i="44"/>
  <c r="L27" i="31"/>
  <c r="M14" i="31"/>
  <c r="M10" i="31"/>
  <c r="N9" i="31"/>
  <c r="N7" i="31"/>
  <c r="N15" i="31" s="1"/>
  <c r="M19" i="31" l="1"/>
  <c r="B39" i="31" s="1"/>
  <c r="E13" i="30" s="1"/>
  <c r="M16" i="31"/>
  <c r="B36" i="31" s="1"/>
  <c r="E7" i="30" s="1"/>
  <c r="L62" i="44"/>
  <c r="E6" i="30"/>
  <c r="N14" i="31"/>
  <c r="B34" i="31"/>
  <c r="N19" i="31"/>
  <c r="N10" i="31"/>
  <c r="N16" i="31" s="1"/>
  <c r="O9" i="31"/>
  <c r="O7" i="31"/>
  <c r="O15" i="31" s="1"/>
  <c r="O19" i="31" s="1"/>
  <c r="M27" i="31" l="1"/>
  <c r="L58" i="44"/>
  <c r="E10" i="30"/>
  <c r="L56" i="44"/>
  <c r="N27" i="31"/>
  <c r="E23" i="30"/>
  <c r="O14" i="31"/>
  <c r="O10" i="31"/>
  <c r="O16" i="31" s="1"/>
  <c r="P9" i="31"/>
  <c r="P7" i="31"/>
  <c r="P15" i="31" s="1"/>
  <c r="P19" i="31" s="1"/>
  <c r="E16" i="30" l="1"/>
  <c r="E22" i="30"/>
  <c r="F10" i="30" s="1"/>
  <c r="O27" i="31"/>
  <c r="P14" i="31"/>
  <c r="P10" i="31"/>
  <c r="P16" i="31" s="1"/>
  <c r="Q9" i="31"/>
  <c r="Q7" i="31"/>
  <c r="Q15" i="31" s="1"/>
  <c r="Q19" i="31" s="1"/>
  <c r="E17" i="30" l="1"/>
  <c r="F9" i="30"/>
  <c r="F19" i="30"/>
  <c r="F15" i="30"/>
  <c r="F20" i="30"/>
  <c r="F7" i="30"/>
  <c r="F6" i="30"/>
  <c r="F13" i="30"/>
  <c r="P27" i="31"/>
  <c r="Q14" i="31"/>
  <c r="R7" i="31"/>
  <c r="R15" i="31" s="1"/>
  <c r="R19" i="31" s="1"/>
  <c r="R9" i="31"/>
  <c r="Q10" i="31"/>
  <c r="Q16" i="31" s="1"/>
  <c r="Q27" i="31" l="1"/>
  <c r="R14" i="31"/>
  <c r="R10" i="31"/>
  <c r="R16" i="31" s="1"/>
  <c r="S9" i="31"/>
  <c r="S7" i="31"/>
  <c r="S15" i="31" s="1"/>
  <c r="S19" i="31" s="1"/>
  <c r="K45" i="31"/>
  <c r="K49" i="31" s="1"/>
  <c r="R27" i="31" l="1"/>
  <c r="J52" i="31"/>
  <c r="M50" i="31"/>
  <c r="S14" i="31"/>
  <c r="S10" i="31"/>
  <c r="S16" i="31" s="1"/>
  <c r="T9" i="31"/>
  <c r="T7" i="31"/>
  <c r="T15" i="31" s="1"/>
  <c r="T19" i="31" s="1"/>
  <c r="L45" i="31"/>
  <c r="L49" i="31" s="1"/>
  <c r="S27" i="31" l="1"/>
  <c r="T14" i="31"/>
  <c r="N50" i="31"/>
  <c r="O50" i="31" s="1"/>
  <c r="P50" i="31" s="1"/>
  <c r="T10" i="31"/>
  <c r="T16" i="31" s="1"/>
  <c r="U9" i="31"/>
  <c r="U7" i="31"/>
  <c r="U15" i="31" s="1"/>
  <c r="U19" i="31" s="1"/>
  <c r="T27" i="31" l="1"/>
  <c r="U14" i="31"/>
  <c r="V9" i="31"/>
  <c r="V7" i="31"/>
  <c r="V15" i="31" s="1"/>
  <c r="V19" i="31" s="1"/>
  <c r="U10" i="31"/>
  <c r="U16" i="31" s="1"/>
  <c r="U27" i="31" l="1"/>
  <c r="V14" i="31"/>
  <c r="V10" i="31"/>
  <c r="V16" i="31" s="1"/>
  <c r="W9" i="31"/>
  <c r="W7" i="31"/>
  <c r="W15" i="31" s="1"/>
  <c r="W19" i="31" s="1"/>
  <c r="V27" i="31" l="1"/>
  <c r="W14" i="31"/>
  <c r="X9" i="31"/>
  <c r="X7" i="31"/>
  <c r="X15" i="31" s="1"/>
  <c r="X19" i="31" s="1"/>
  <c r="W10" i="31"/>
  <c r="W16" i="31" s="1"/>
  <c r="W27" i="31" l="1"/>
  <c r="X14" i="31"/>
  <c r="X10" i="31"/>
  <c r="X16" i="31" s="1"/>
  <c r="Y9" i="31"/>
  <c r="Y7" i="31"/>
  <c r="Y15" i="31" l="1"/>
  <c r="Y19" i="31" s="1"/>
  <c r="C39" i="31" s="1"/>
  <c r="G13" i="30" s="1"/>
  <c r="M61" i="44"/>
  <c r="X27" i="31"/>
  <c r="Y14" i="31"/>
  <c r="Z9" i="31"/>
  <c r="Z7" i="31"/>
  <c r="Z15" i="31" s="1"/>
  <c r="Y10" i="31"/>
  <c r="C35" i="31" l="1"/>
  <c r="M57" i="44" s="1"/>
  <c r="Y16" i="31"/>
  <c r="Y27" i="31" s="1"/>
  <c r="M62" i="44"/>
  <c r="C34" i="31"/>
  <c r="Z14" i="31"/>
  <c r="Z19" i="31"/>
  <c r="Z10" i="31"/>
  <c r="Z16" i="31" s="1"/>
  <c r="AA9" i="31"/>
  <c r="AA7" i="31"/>
  <c r="AA15" i="31" s="1"/>
  <c r="AA19" i="31" s="1"/>
  <c r="G6" i="30" l="1"/>
  <c r="C36" i="31"/>
  <c r="G7" i="30" s="1"/>
  <c r="G10" i="30"/>
  <c r="M56" i="44"/>
  <c r="G23" i="30"/>
  <c r="AA14" i="31"/>
  <c r="Z27" i="31"/>
  <c r="AA10" i="31"/>
  <c r="AA16" i="31" s="1"/>
  <c r="AB9" i="31"/>
  <c r="AB7" i="31"/>
  <c r="AB15" i="31" s="1"/>
  <c r="AB19" i="31" s="1"/>
  <c r="G30" i="30"/>
  <c r="M58" i="44" l="1"/>
  <c r="G16" i="30"/>
  <c r="G22" i="30"/>
  <c r="H13" i="30" s="1"/>
  <c r="AA27" i="31"/>
  <c r="AB14" i="31"/>
  <c r="AB10" i="31"/>
  <c r="AB16" i="31" s="1"/>
  <c r="AC9" i="31"/>
  <c r="AC7" i="31"/>
  <c r="AC15" i="31" s="1"/>
  <c r="AC19" i="31" s="1"/>
  <c r="G17" i="30" l="1"/>
  <c r="AB27" i="31"/>
  <c r="H19" i="30"/>
  <c r="H20" i="30"/>
  <c r="H7" i="30"/>
  <c r="H6" i="30"/>
  <c r="H10" i="30"/>
  <c r="H15" i="30"/>
  <c r="H9" i="30"/>
  <c r="AC14" i="31"/>
  <c r="AC10" i="31"/>
  <c r="AC16" i="31" s="1"/>
  <c r="AD9" i="31"/>
  <c r="AD7" i="31"/>
  <c r="AD15" i="31" s="1"/>
  <c r="AD19" i="31" s="1"/>
  <c r="B52" i="39"/>
  <c r="AD14" i="31" l="1"/>
  <c r="AC27" i="31"/>
  <c r="AE9" i="31"/>
  <c r="AE7" i="31"/>
  <c r="AE15" i="31" s="1"/>
  <c r="AE19" i="31" s="1"/>
  <c r="AD10" i="31"/>
  <c r="AD16" i="31" s="1"/>
  <c r="AD27" i="31" l="1"/>
  <c r="AE14" i="31"/>
  <c r="AE10" i="31"/>
  <c r="AE16" i="31" s="1"/>
  <c r="AF9" i="31"/>
  <c r="AF7" i="31"/>
  <c r="AF15" i="31" s="1"/>
  <c r="AF19" i="31" s="1"/>
  <c r="AE27" i="31" l="1"/>
  <c r="AF14" i="31"/>
  <c r="AF10" i="31"/>
  <c r="AF16" i="31" s="1"/>
  <c r="AG9" i="31"/>
  <c r="AG7" i="31"/>
  <c r="AG15" i="31" s="1"/>
  <c r="AG19" i="31" s="1"/>
  <c r="AF27" i="31" l="1"/>
  <c r="AG14" i="31"/>
  <c r="AG10" i="31"/>
  <c r="AG16" i="31" s="1"/>
  <c r="AH9" i="31"/>
  <c r="AH7" i="31"/>
  <c r="AH15" i="31" s="1"/>
  <c r="AH19" i="31" s="1"/>
  <c r="AG27" i="31" l="1"/>
  <c r="AH14" i="31"/>
  <c r="AH10" i="31"/>
  <c r="AH16" i="31" s="1"/>
  <c r="AI9" i="31"/>
  <c r="AI7" i="31"/>
  <c r="AI15" i="31" s="1"/>
  <c r="AI19" i="31" s="1"/>
  <c r="AH27" i="31" l="1"/>
  <c r="AI14" i="31"/>
  <c r="AJ9" i="31"/>
  <c r="AJ7" i="31"/>
  <c r="AJ15" i="31" s="1"/>
  <c r="AJ19" i="31" s="1"/>
  <c r="AI10" i="31"/>
  <c r="AI16" i="31" s="1"/>
  <c r="AJ14" i="31" l="1"/>
  <c r="AI27" i="31"/>
  <c r="AJ10" i="31"/>
  <c r="AJ16" i="31" s="1"/>
  <c r="AK9" i="31"/>
  <c r="AK7" i="31"/>
  <c r="AK15" i="31" l="1"/>
  <c r="AK19" i="31" s="1"/>
  <c r="D39" i="31" s="1"/>
  <c r="I13" i="30" s="1"/>
  <c r="N61" i="44"/>
  <c r="AJ27" i="31"/>
  <c r="AK14" i="31"/>
  <c r="AK10" i="31"/>
  <c r="AL9" i="31"/>
  <c r="AL7" i="31"/>
  <c r="AL15" i="31" s="1"/>
  <c r="D35" i="31" l="1"/>
  <c r="N57" i="44" s="1"/>
  <c r="AK16" i="31"/>
  <c r="AK27" i="31" s="1"/>
  <c r="N62" i="44"/>
  <c r="AL14" i="31"/>
  <c r="D34" i="31"/>
  <c r="AL19" i="31"/>
  <c r="AL10" i="31"/>
  <c r="AL16" i="31" s="1"/>
  <c r="AM7" i="31"/>
  <c r="AM15" i="31" s="1"/>
  <c r="AM19" i="31" s="1"/>
  <c r="AM9" i="31"/>
  <c r="I23" i="30" l="1"/>
  <c r="I6" i="30"/>
  <c r="D36" i="31"/>
  <c r="I7" i="30" s="1"/>
  <c r="I10" i="30"/>
  <c r="N56" i="44"/>
  <c r="AM14" i="31"/>
  <c r="AL27" i="31"/>
  <c r="AM10" i="31"/>
  <c r="AM16" i="31" s="1"/>
  <c r="AN9" i="31"/>
  <c r="AN7" i="31"/>
  <c r="AN15" i="31" s="1"/>
  <c r="AN19" i="31" s="1"/>
  <c r="G31" i="30"/>
  <c r="G29" i="30"/>
  <c r="M45" i="31"/>
  <c r="N58" i="44" l="1"/>
  <c r="I22" i="30"/>
  <c r="J13" i="30" s="1"/>
  <c r="I16" i="30"/>
  <c r="N45" i="31"/>
  <c r="M49" i="31"/>
  <c r="M51" i="31" s="1"/>
  <c r="AN14" i="31"/>
  <c r="AM27" i="31"/>
  <c r="AO9" i="31"/>
  <c r="AO7" i="31"/>
  <c r="AO15" i="31" s="1"/>
  <c r="AO19" i="31" s="1"/>
  <c r="AN10" i="31"/>
  <c r="AN16" i="31" s="1"/>
  <c r="G32" i="30"/>
  <c r="I17" i="30" l="1"/>
  <c r="J10" i="30"/>
  <c r="J6" i="30"/>
  <c r="J19" i="30"/>
  <c r="J15" i="30"/>
  <c r="J20" i="30"/>
  <c r="J9" i="30"/>
  <c r="J7" i="30"/>
  <c r="AO14" i="31"/>
  <c r="O45" i="31"/>
  <c r="N49" i="31"/>
  <c r="N51" i="31" s="1"/>
  <c r="AN27" i="31"/>
  <c r="AO10" i="31"/>
  <c r="AO16" i="31" s="1"/>
  <c r="AP9" i="31"/>
  <c r="AP7" i="31"/>
  <c r="AP15" i="31" s="1"/>
  <c r="AO27" i="31" l="1"/>
  <c r="P45" i="31"/>
  <c r="P49" i="31" s="1"/>
  <c r="O49" i="31"/>
  <c r="O51" i="31" s="1"/>
  <c r="AP14" i="31"/>
  <c r="AP19" i="31"/>
  <c r="AP10" i="31"/>
  <c r="AP16" i="31" s="1"/>
  <c r="AQ9" i="31"/>
  <c r="AQ7" i="31"/>
  <c r="AQ15" i="31" s="1"/>
  <c r="AQ19" i="31" s="1"/>
  <c r="P51" i="31" l="1"/>
  <c r="AQ14" i="31"/>
  <c r="AP27" i="31"/>
  <c r="AR9" i="31"/>
  <c r="AR7" i="31"/>
  <c r="AR15" i="31" s="1"/>
  <c r="AR19" i="31" s="1"/>
  <c r="AQ10" i="31"/>
  <c r="AQ16" i="31" s="1"/>
  <c r="AQ27" i="31" l="1"/>
  <c r="AR14" i="31"/>
  <c r="AR10" i="31"/>
  <c r="AR16" i="31" s="1"/>
  <c r="AS9" i="31"/>
  <c r="AS7" i="31"/>
  <c r="AS15" i="31" s="1"/>
  <c r="AS19" i="31" s="1"/>
  <c r="AR27" i="31" l="1"/>
  <c r="AS14" i="31"/>
  <c r="AT9" i="31"/>
  <c r="AT7" i="31"/>
  <c r="AT15" i="31" s="1"/>
  <c r="AT19" i="31" s="1"/>
  <c r="AS10" i="31"/>
  <c r="AS16" i="31" s="1"/>
  <c r="AT14" i="31" l="1"/>
  <c r="AS27" i="31"/>
  <c r="AT10" i="31"/>
  <c r="AT16" i="31" s="1"/>
  <c r="AU7" i="31"/>
  <c r="AU15" i="31" s="1"/>
  <c r="AU19" i="31" s="1"/>
  <c r="AU9" i="31"/>
  <c r="AT27" i="31" l="1"/>
  <c r="AU14" i="31"/>
  <c r="AU10" i="31"/>
  <c r="AU16" i="31" s="1"/>
  <c r="AV9" i="31"/>
  <c r="AV7" i="31"/>
  <c r="AV15" i="31" s="1"/>
  <c r="AV19" i="31" s="1"/>
  <c r="AU27" i="31" l="1"/>
  <c r="AV14" i="31"/>
  <c r="AW9" i="31"/>
  <c r="AW7" i="31"/>
  <c r="AV10" i="31"/>
  <c r="AV16" i="31" s="1"/>
  <c r="AW15" i="31" l="1"/>
  <c r="AW19" i="31" s="1"/>
  <c r="E39" i="31" s="1"/>
  <c r="O61" i="44"/>
  <c r="AW14" i="31"/>
  <c r="AV27" i="31"/>
  <c r="AW10" i="31"/>
  <c r="E35" i="31" l="1"/>
  <c r="O57" i="44" s="1"/>
  <c r="F39" i="31"/>
  <c r="K13" i="30"/>
  <c r="AW16" i="31"/>
  <c r="AW27" i="31" s="1"/>
  <c r="O62" i="44"/>
  <c r="E34" i="31"/>
  <c r="F35" i="31" l="1"/>
  <c r="K6" i="30"/>
  <c r="E36" i="31"/>
  <c r="O58" i="44" s="1"/>
  <c r="K10" i="30"/>
  <c r="O56" i="44"/>
  <c r="K23" i="30"/>
  <c r="F34" i="31"/>
  <c r="J61" i="31" s="1"/>
  <c r="K7" i="30" l="1"/>
  <c r="K16" i="30" s="1"/>
  <c r="F36" i="31"/>
  <c r="K22" i="30" l="1"/>
  <c r="L13" i="30" l="1"/>
  <c r="K17" i="30"/>
  <c r="L6" i="30"/>
  <c r="L20" i="30"/>
  <c r="L7" i="30"/>
  <c r="L9" i="30"/>
  <c r="L15" i="30"/>
  <c r="L10" i="30"/>
  <c r="L19" i="30"/>
  <c r="H30" i="30"/>
  <c r="F26" i="44" l="1"/>
  <c r="F27" i="44" s="1"/>
  <c r="H29" i="30" l="1"/>
  <c r="H31" i="30" l="1"/>
  <c r="H32" i="30" s="1"/>
  <c r="P56" i="44"/>
  <c r="G26" i="44" l="1"/>
  <c r="G27" i="44" s="1"/>
  <c r="H26" i="44" l="1"/>
  <c r="H27" i="44" s="1"/>
  <c r="I26" i="44" l="1"/>
  <c r="I27" i="44" s="1"/>
  <c r="B28" i="31" l="1"/>
  <c r="C28" i="31" l="1"/>
  <c r="I25" i="30"/>
  <c r="G25" i="30"/>
  <c r="C52" i="39"/>
  <c r="K25" i="30"/>
  <c r="G28" i="44" l="1"/>
  <c r="G27" i="30"/>
  <c r="K27" i="30"/>
  <c r="I28" i="44"/>
  <c r="I27" i="30"/>
  <c r="H28" i="44"/>
  <c r="D52" i="39"/>
  <c r="D28" i="31"/>
  <c r="I29" i="44" l="1"/>
  <c r="G29" i="44"/>
  <c r="H29" i="44"/>
  <c r="E52" i="39"/>
  <c r="E28" i="31" l="1"/>
  <c r="E25" i="30" l="1"/>
  <c r="F28" i="31"/>
  <c r="F52" i="39"/>
  <c r="G28" i="31" l="1"/>
  <c r="G52" i="39"/>
  <c r="F28" i="44"/>
  <c r="E27" i="30"/>
  <c r="F29" i="44" l="1"/>
  <c r="H52" i="39"/>
  <c r="H28" i="31"/>
  <c r="I28" i="31" l="1"/>
  <c r="I52" i="39"/>
  <c r="J28" i="31" l="1"/>
  <c r="J52" i="39"/>
  <c r="K28" i="31" l="1"/>
  <c r="K52" i="39"/>
  <c r="L52" i="39" l="1"/>
  <c r="L28" i="31"/>
  <c r="M28" i="31" l="1"/>
  <c r="M52" i="39"/>
  <c r="N28" i="31" l="1"/>
  <c r="N52" i="39"/>
  <c r="O28" i="31" l="1"/>
  <c r="O52" i="39"/>
  <c r="P28" i="31" l="1"/>
  <c r="P52" i="39"/>
  <c r="Q52" i="39" l="1"/>
  <c r="Q28" i="31"/>
  <c r="R52" i="39" l="1"/>
  <c r="R28" i="31"/>
  <c r="S52" i="39" l="1"/>
  <c r="S28" i="31"/>
  <c r="T28" i="31" l="1"/>
  <c r="T52" i="39"/>
  <c r="U52" i="39" l="1"/>
  <c r="U28" i="31"/>
  <c r="V28" i="31" l="1"/>
  <c r="V52" i="39"/>
  <c r="W28" i="31" l="1"/>
  <c r="W52" i="39"/>
  <c r="X52" i="39" l="1"/>
  <c r="X28" i="31"/>
  <c r="Y28" i="31" l="1"/>
  <c r="Y52" i="39"/>
  <c r="Z52" i="39" l="1"/>
  <c r="Z28" i="31"/>
  <c r="AA52" i="39" l="1"/>
  <c r="AA28" i="31"/>
  <c r="AB28" i="31" l="1"/>
  <c r="AB52" i="39"/>
  <c r="AC28" i="31" l="1"/>
  <c r="AC52" i="39"/>
  <c r="AD28" i="31" l="1"/>
  <c r="AD52" i="39"/>
  <c r="AE52" i="39" l="1"/>
  <c r="AE28" i="31"/>
  <c r="AF28" i="31" l="1"/>
  <c r="AF52" i="39"/>
  <c r="AG28" i="31" l="1"/>
  <c r="AG52" i="39"/>
  <c r="AH52" i="39" l="1"/>
  <c r="AH28" i="31"/>
  <c r="AI28" i="31" l="1"/>
  <c r="AI52" i="39"/>
  <c r="AJ28" i="31" l="1"/>
  <c r="AJ52" i="39"/>
  <c r="AK28" i="31" l="1"/>
  <c r="AK52" i="39"/>
  <c r="AL52" i="39" l="1"/>
  <c r="AL28" i="31"/>
  <c r="AM28" i="31" l="1"/>
  <c r="AM52" i="39"/>
  <c r="AN28" i="31" l="1"/>
  <c r="AN52" i="39"/>
  <c r="AO52" i="39" l="1"/>
  <c r="AO28" i="31"/>
  <c r="AP28" i="31" l="1"/>
  <c r="AP52" i="39"/>
  <c r="AQ28" i="31" l="1"/>
  <c r="AQ52" i="39"/>
  <c r="AR28" i="31" l="1"/>
  <c r="AR52" i="39"/>
  <c r="AS28" i="31" l="1"/>
  <c r="AS52" i="39"/>
  <c r="AT28" i="31" l="1"/>
  <c r="AT52" i="39"/>
  <c r="AU52" i="39" l="1"/>
  <c r="AU28" i="31"/>
  <c r="AV52" i="39" l="1"/>
  <c r="AV28" i="31"/>
  <c r="AW28" i="31" l="1"/>
  <c r="B29" i="31" s="1"/>
  <c r="R37" i="39" s="1"/>
  <c r="R29" i="39" s="1"/>
  <c r="G32" i="44" s="1"/>
  <c r="AW52" i="39"/>
  <c r="AX52" i="3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Dana Willmer</author>
  </authors>
  <commentList>
    <comment ref="F6" authorId="0" shapeId="0" xr:uid="{071A4734-CAA2-4F1A-BF4A-C6BC22DF146B}">
      <text>
        <r>
          <rPr>
            <b/>
            <sz val="9"/>
            <color indexed="81"/>
            <rFont val="Tahoma"/>
            <family val="2"/>
          </rPr>
          <t>What number of new customers are expected to be added in year 1?</t>
        </r>
      </text>
    </comment>
    <comment ref="G6" authorId="0" shapeId="0" xr:uid="{C796ACD7-EACF-4A6F-B01D-94E946D0DBE7}">
      <text>
        <r>
          <rPr>
            <b/>
            <sz val="9"/>
            <color indexed="81"/>
            <rFont val="Tahoma"/>
            <family val="2"/>
          </rPr>
          <t>What number of new customers are expected to be added in year 2?</t>
        </r>
      </text>
    </comment>
    <comment ref="H6" authorId="0" shapeId="0" xr:uid="{CE88592B-7B20-4CBD-B6D9-D2EE88EC7ED1}">
      <text>
        <r>
          <rPr>
            <b/>
            <sz val="9"/>
            <color indexed="81"/>
            <rFont val="Tahoma"/>
            <family val="2"/>
          </rPr>
          <t>What number of new customers are expected to be added in year 3?</t>
        </r>
      </text>
    </comment>
    <comment ref="I6" authorId="0" shapeId="0" xr:uid="{9F0717AC-E3D3-4336-9F6E-27988CCEE556}">
      <text>
        <r>
          <rPr>
            <b/>
            <sz val="9"/>
            <color indexed="81"/>
            <rFont val="Tahoma"/>
            <family val="2"/>
          </rPr>
          <t>What number of new customers are expected to be added in year 4?</t>
        </r>
      </text>
    </comment>
    <comment ref="C8" authorId="0" shapeId="0" xr:uid="{3CFA49B7-63EB-4F4A-84AB-E928C57A7707}">
      <text>
        <r>
          <rPr>
            <b/>
            <sz val="9"/>
            <color indexed="81"/>
            <rFont val="Tahoma"/>
            <family val="2"/>
          </rPr>
          <t>What will the average number of users in each new Power App customer add?</t>
        </r>
      </text>
    </comment>
    <comment ref="E8" authorId="0" shapeId="0" xr:uid="{6CEB0B0E-BE78-4A89-BCAE-F0522333EF60}">
      <text>
        <r>
          <rPr>
            <b/>
            <sz val="9"/>
            <color indexed="81"/>
            <rFont val="Tahoma"/>
            <family val="2"/>
          </rPr>
          <t>Given the customer adds anticipated immediately above, what resourcing will be needed to support the Power App customer base in each of the next 4 years? Note: partial FTE's are fine if the resource is allocated from existing partner staff rather than a net new hire.</t>
        </r>
      </text>
    </comment>
    <comment ref="C11" authorId="0" shapeId="0" xr:uid="{14B602D9-7FFB-4763-B147-FDEFE1DD1AF3}">
      <text>
        <r>
          <rPr>
            <b/>
            <sz val="9"/>
            <color indexed="81"/>
            <rFont val="Tahoma"/>
            <family val="2"/>
          </rPr>
          <t>What will the average upfront project fees in each new Power App customer add?</t>
        </r>
      </text>
    </comment>
    <comment ref="C12" authorId="0" shapeId="0" xr:uid="{D25E8F0D-FE06-4051-89C7-17AD05A7F519}">
      <text>
        <r>
          <rPr>
            <b/>
            <sz val="9"/>
            <color indexed="81"/>
            <rFont val="Tahoma"/>
            <family val="2"/>
          </rPr>
          <t>What will the average ongoing annual support fees in each new Power App customer add, when the customer chooses to buy support?</t>
        </r>
      </text>
    </comment>
    <comment ref="C13" authorId="0" shapeId="0" xr:uid="{0240BA8B-D8CE-4D92-9EA6-6F83C00CD677}">
      <text>
        <r>
          <rPr>
            <b/>
            <sz val="9"/>
            <color indexed="81"/>
            <rFont val="Tahoma"/>
            <family val="2"/>
          </rPr>
          <t>What will the average annual Microsoft subscription fee in each new Power App customer add?</t>
        </r>
      </text>
    </comment>
    <comment ref="C14" authorId="0" shapeId="0" xr:uid="{A4D02821-211B-463A-8055-C4268A795104}">
      <text>
        <r>
          <rPr>
            <b/>
            <sz val="9"/>
            <color indexed="81"/>
            <rFont val="Tahoma"/>
            <family val="2"/>
          </rPr>
          <t>What will the average annual subscription fees in each new Power App customer add, when the customer chooses to buy add-on Partner IP?</t>
        </r>
      </text>
    </comment>
    <comment ref="E15" authorId="0" shapeId="0" xr:uid="{4E38A1AD-2298-4FF6-8397-6F80C5480955}">
      <text>
        <r>
          <rPr>
            <b/>
            <sz val="9"/>
            <color indexed="81"/>
            <rFont val="Tahoma"/>
            <family val="2"/>
          </rPr>
          <t>What sales and marketing costs will be 
needed to acquire the new Power App customers in each of the next 4 years above?</t>
        </r>
      </text>
    </comment>
    <comment ref="E16" authorId="0" shapeId="0" xr:uid="{222DD5D3-B0AE-41D6-8373-D8DE4A7749C6}">
      <text>
        <r>
          <rPr>
            <b/>
            <sz val="9"/>
            <color indexed="81"/>
            <rFont val="Tahoma"/>
            <family val="2"/>
          </rPr>
          <t>What incremental R&amp;D, G&amp;A, or other costs will be needed to support the growing Power App customer base in each of the next 4 years above?</t>
        </r>
      </text>
    </comment>
    <comment ref="C17" authorId="0" shapeId="0" xr:uid="{EBF12091-D32F-4F0A-94BD-BD9B3F7C8D74}">
      <text>
        <r>
          <rPr>
            <b/>
            <sz val="9"/>
            <color indexed="81"/>
            <rFont val="Tahoma"/>
            <family val="2"/>
          </rPr>
          <t>What will the average annual loaded cost for any software architects hired or allocated to support/grow a Power Apps practice?</t>
        </r>
      </text>
    </comment>
    <comment ref="C18" authorId="0" shapeId="0" xr:uid="{B642C890-2C01-420C-AB29-7BF65C3E8313}">
      <text>
        <r>
          <rPr>
            <b/>
            <sz val="9"/>
            <color indexed="81"/>
            <rFont val="Tahoma"/>
            <family val="2"/>
          </rPr>
          <t>What will the average annual loaded cost for any software developers hired or allocated to support/grow a Power Apps practice?</t>
        </r>
      </text>
    </comment>
    <comment ref="E18" authorId="0" shapeId="0" xr:uid="{9DCF1CB9-D292-4501-B09C-A5C811CAB959}">
      <text>
        <r>
          <rPr>
            <b/>
            <sz val="9"/>
            <color indexed="81"/>
            <rFont val="Tahoma"/>
            <family val="2"/>
          </rPr>
          <t>What portion of the Power App customer base is expected to buy ongoing annual support across the next 4 years?</t>
        </r>
      </text>
    </comment>
    <comment ref="C19" authorId="0" shapeId="0" xr:uid="{0603D906-236B-4775-8A01-EAC7CAC84FCE}">
      <text>
        <r>
          <rPr>
            <b/>
            <sz val="9"/>
            <color indexed="81"/>
            <rFont val="Tahoma"/>
            <family val="2"/>
          </rPr>
          <t>What will the average annual loaded cost for any business analysts hired or allocated to support/grow a Power Apps practice?</t>
        </r>
      </text>
    </comment>
    <comment ref="C20" authorId="0" shapeId="0" xr:uid="{E27E3AA3-73E6-4E64-8C17-4CBB636FB732}">
      <text>
        <r>
          <rPr>
            <b/>
            <sz val="9"/>
            <color indexed="81"/>
            <rFont val="Tahoma"/>
            <family val="2"/>
          </rPr>
          <t>What will the average annual loaded cost for any managers hired or allocated to support/grow a Power Apps practice?</t>
        </r>
      </text>
    </comment>
    <comment ref="E21" authorId="0" shapeId="0" xr:uid="{487D2C9D-182E-419D-ADA9-EBC2BE327C3E}">
      <text>
        <r>
          <rPr>
            <b/>
            <sz val="9"/>
            <color indexed="81"/>
            <rFont val="Tahoma"/>
            <family val="2"/>
          </rPr>
          <t>What portion of the Power App customer base is expected to buy Partner IP across the next 4 years?</t>
        </r>
      </text>
    </comment>
    <comment ref="C22" authorId="0" shapeId="0" xr:uid="{E2678741-DD4D-4521-B40F-FF1067D3F0A8}">
      <text>
        <r>
          <rPr>
            <b/>
            <sz val="9"/>
            <color indexed="81"/>
            <rFont val="Tahoma"/>
            <family val="2"/>
          </rPr>
          <t>What will the average margin received from Microsoft on any Power App subscription fees generated?</t>
        </r>
      </text>
    </comment>
    <comment ref="C24" authorId="0" shapeId="0" xr:uid="{88BB7D33-D25A-4545-BA74-B416BA060963}">
      <text>
        <r>
          <rPr>
            <b/>
            <sz val="9"/>
            <color indexed="81"/>
            <rFont val="Tahoma"/>
            <family val="2"/>
          </rPr>
          <t>What will the average annual customer churn among the Power App customer base?</t>
        </r>
      </text>
    </comment>
  </commentList>
</comments>
</file>

<file path=xl/sharedStrings.xml><?xml version="1.0" encoding="utf-8"?>
<sst xmlns="http://schemas.openxmlformats.org/spreadsheetml/2006/main" count="116" uniqueCount="89">
  <si>
    <t>Total Revenues</t>
  </si>
  <si>
    <t>Total Expenses</t>
  </si>
  <si>
    <t>Year 2</t>
  </si>
  <si>
    <t>Year 3</t>
  </si>
  <si>
    <t>Year 4</t>
  </si>
  <si>
    <t>Year 1</t>
  </si>
  <si>
    <t>% of revenue</t>
  </si>
  <si>
    <t>year 2</t>
  </si>
  <si>
    <t>year 3</t>
  </si>
  <si>
    <t>year 4</t>
  </si>
  <si>
    <t>Year</t>
  </si>
  <si>
    <t>Month</t>
  </si>
  <si>
    <t>year 1</t>
  </si>
  <si>
    <t>Monthly Cumulative Cash Flow</t>
  </si>
  <si>
    <t>Revenue</t>
  </si>
  <si>
    <t>COGS</t>
  </si>
  <si>
    <t>OPEX</t>
  </si>
  <si>
    <t>Slider Bar Calculations</t>
  </si>
  <si>
    <t>yr 1</t>
  </si>
  <si>
    <t>ongoing</t>
  </si>
  <si>
    <t>Costs</t>
  </si>
  <si>
    <t>Software</t>
  </si>
  <si>
    <t>Services</t>
  </si>
  <si>
    <t>yr 2</t>
  </si>
  <si>
    <t>yr 3</t>
  </si>
  <si>
    <t>yr 4</t>
  </si>
  <si>
    <t>Cumulative Margin</t>
  </si>
  <si>
    <t>Cumulative Revenue</t>
  </si>
  <si>
    <t>Revenue Composition</t>
  </si>
  <si>
    <t>Revenue/New Cloud Customer</t>
  </si>
  <si>
    <t>Margin/New Cloud Customer</t>
  </si>
  <si>
    <t>Blended Revenue/New Customer</t>
  </si>
  <si>
    <t>Monthly Cash Flow</t>
  </si>
  <si>
    <t>Hosting &amp; SaaS Software Subscriptions (recurring)</t>
  </si>
  <si>
    <t>Professional Services (non-recurring)</t>
  </si>
  <si>
    <t>Managed Services (recurring)</t>
  </si>
  <si>
    <t>4 Yr Blended Subscription Margin</t>
  </si>
  <si>
    <t>Annual Resource Costs</t>
  </si>
  <si>
    <t>Subscriptions</t>
  </si>
  <si>
    <t>Annual New Customer Adds</t>
  </si>
  <si>
    <t>Total Customers</t>
  </si>
  <si>
    <t>Operating Margin ($)</t>
  </si>
  <si>
    <t>Operating Margin (%)</t>
  </si>
  <si>
    <t>Revenue/FTE</t>
  </si>
  <si>
    <t>% revenue recurring</t>
  </si>
  <si>
    <t>BPO Services</t>
  </si>
  <si>
    <t>Onboarding &amp; Admin</t>
  </si>
  <si>
    <t>Yr 1 Blended Onboarding &amp; Admin Margin</t>
  </si>
  <si>
    <t>4 Yr Blended Onboarding &amp; Admin Margin</t>
  </si>
  <si>
    <t>Yr 1 Blended BPO Margin</t>
  </si>
  <si>
    <t>4 Yr Blended BPO Margin</t>
  </si>
  <si>
    <t>Power Apps Economic Model</t>
  </si>
  <si>
    <t>Other Costs</t>
  </si>
  <si>
    <t>Sales &amp; Marketing</t>
  </si>
  <si>
    <t>Typical Annual Customer Fees</t>
  </si>
  <si>
    <t>Initial Project Fees</t>
  </si>
  <si>
    <t>Ongoing Support Fees</t>
  </si>
  <si>
    <t>Architect</t>
  </si>
  <si>
    <t>Developer</t>
  </si>
  <si>
    <t>Business Analyst</t>
  </si>
  <si>
    <t>Manager</t>
  </si>
  <si>
    <t>Ongoing Support Attach Rate</t>
  </si>
  <si>
    <t>Support Attach Rate</t>
  </si>
  <si>
    <t>Power App License Rate</t>
  </si>
  <si>
    <t>New Customer Adds</t>
  </si>
  <si>
    <t>Annual Customer Churn</t>
  </si>
  <si>
    <t>Total Power App Users</t>
  </si>
  <si>
    <t>Average Power App Users/New Customer</t>
  </si>
  <si>
    <t>Total Customers with Support</t>
  </si>
  <si>
    <t>Total Users with Power App Subscriptions</t>
  </si>
  <si>
    <t>Partner Margin (from Microsoft)</t>
  </si>
  <si>
    <t>total</t>
  </si>
  <si>
    <t>Personnel</t>
  </si>
  <si>
    <t>overall gross margin</t>
  </si>
  <si>
    <t>Minimum Investment Required</t>
  </si>
  <si>
    <t>Contribution Margin ($)</t>
  </si>
  <si>
    <t>Contribution Margin (%)</t>
  </si>
  <si>
    <t>Cash Flow Bottom</t>
  </si>
  <si>
    <t>Microsoft</t>
  </si>
  <si>
    <t>Partner IP</t>
  </si>
  <si>
    <t>Partner IP Subscription Fees</t>
  </si>
  <si>
    <t>Power App Subscription Fees</t>
  </si>
  <si>
    <t>Power App Delivery Resourcing</t>
  </si>
  <si>
    <t>Incremental R&amp;D, G&amp;A, Other</t>
  </si>
  <si>
    <t>Partner IP Attach Rate</t>
  </si>
  <si>
    <t>Assess your specific economic impact of building a Power App practice by adjusting any of the variables highlighted in green and adjusting the slider bars. Then refer to the P&amp;L and Cash Flow Impact tabs for more detail.</t>
  </si>
  <si>
    <t>P&amp;L Impact Summary</t>
  </si>
  <si>
    <t>P&amp;L calculated based on assumptions in Key Business Variables tab</t>
  </si>
  <si>
    <t>Cash flow calculated based on assumptions in Key Business Variables tab, and assumes customer adds come in evenly throughout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</si>
</sst>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;[Red]\-&quot;$&quot;#,##0"/>
    <numFmt numFmtId="165" formatCode="_-* #,##0.00_-;\-* #,##0.00_-;_-* &quot;-&quot;??_-;_-@_-"/>
    <numFmt numFmtId="166" formatCode="&quot;$&quot;#,##0"/>
    <numFmt numFmtId="167" formatCode="0.0%"/>
    <numFmt numFmtId="168" formatCode="0.0"/>
    <numFmt numFmtId="169" formatCode="#,##0_ ;[Red]\-#,##0\ "/>
    <numFmt numFmtId="170" formatCode="&quot;$&quot;#,##0.00"/>
    <numFmt numFmtId="171" formatCode="#,##0.0"/>
    <numFmt numFmtId="172" formatCode="#,##0.000"/>
    <numFmt numFmtId="173" formatCode="[$€-2]\ 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b/>
      <sz val="14"/>
      <color theme="0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 Light"/>
      <family val="2"/>
    </font>
    <font>
      <sz val="11"/>
      <color rgb="FFFF0000"/>
      <name val="Segoe UI Light"/>
      <family val="2"/>
    </font>
    <font>
      <b/>
      <sz val="11"/>
      <name val="Segoe UI Light"/>
      <family val="2"/>
    </font>
    <font>
      <sz val="11"/>
      <name val="Segoe UI Light"/>
      <family val="2"/>
    </font>
    <font>
      <b/>
      <sz val="12"/>
      <color theme="0"/>
      <name val="Segoe UI Light"/>
      <family val="2"/>
    </font>
    <font>
      <b/>
      <sz val="14"/>
      <name val="Segoe UI Light"/>
      <family val="2"/>
    </font>
    <font>
      <sz val="10.199999999999999"/>
      <color rgb="FF000000"/>
      <name val="Segoe UI Light"/>
      <family val="2"/>
    </font>
    <font>
      <sz val="12"/>
      <name val="Segoe UI Light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79">
    <xf numFmtId="0" fontId="0" fillId="0" borderId="0" xfId="0"/>
    <xf numFmtId="0" fontId="2" fillId="0" borderId="0" xfId="0" applyFont="1" applyProtection="1"/>
    <xf numFmtId="0" fontId="6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/>
    </xf>
    <xf numFmtId="3" fontId="6" fillId="0" borderId="0" xfId="0" applyNumberFormat="1" applyFont="1" applyFill="1" applyBorder="1" applyAlignment="1" applyProtection="1">
      <alignment horizontal="center"/>
    </xf>
    <xf numFmtId="173" fontId="6" fillId="0" borderId="0" xfId="0" applyNumberFormat="1" applyFont="1" applyFill="1" applyBorder="1" applyAlignment="1" applyProtection="1">
      <alignment horizontal="center"/>
    </xf>
    <xf numFmtId="173" fontId="6" fillId="0" borderId="0" xfId="1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/>
    <xf numFmtId="173" fontId="6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textRotation="90"/>
    </xf>
    <xf numFmtId="0" fontId="7" fillId="0" borderId="0" xfId="0" applyFont="1" applyFill="1" applyBorder="1" applyAlignment="1" applyProtection="1">
      <alignment horizontal="center" vertical="center" textRotation="90"/>
    </xf>
    <xf numFmtId="9" fontId="2" fillId="0" borderId="0" xfId="1" applyFont="1" applyAlignment="1" applyProtection="1">
      <alignment horizontal="left"/>
    </xf>
    <xf numFmtId="0" fontId="7" fillId="0" borderId="0" xfId="0" applyFont="1" applyAlignment="1" applyProtection="1">
      <alignment horizontal="center" vertical="center" textRotation="90"/>
    </xf>
    <xf numFmtId="0" fontId="2" fillId="0" borderId="0" xfId="0" applyFont="1" applyBorder="1" applyProtection="1"/>
    <xf numFmtId="0" fontId="2" fillId="0" borderId="5" xfId="0" applyFont="1" applyBorder="1" applyProtection="1"/>
    <xf numFmtId="0" fontId="5" fillId="0" borderId="0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horizontal="center"/>
      <protection locked="0"/>
    </xf>
    <xf numFmtId="166" fontId="2" fillId="0" borderId="0" xfId="0" applyNumberFormat="1" applyFont="1" applyProtection="1"/>
    <xf numFmtId="164" fontId="2" fillId="0" borderId="0" xfId="0" applyNumberFormat="1" applyFont="1" applyProtection="1"/>
    <xf numFmtId="166" fontId="2" fillId="0" borderId="0" xfId="0" applyNumberFormat="1" applyFont="1" applyBorder="1" applyAlignment="1" applyProtection="1">
      <alignment horizontal="right" vertical="center"/>
    </xf>
    <xf numFmtId="3" fontId="8" fillId="0" borderId="0" xfId="0" applyNumberFormat="1" applyFont="1" applyFill="1" applyAlignment="1" applyProtection="1">
      <alignment horizontal="right"/>
    </xf>
    <xf numFmtId="167" fontId="2" fillId="0" borderId="0" xfId="1" applyNumberFormat="1" applyFont="1" applyProtection="1"/>
    <xf numFmtId="0" fontId="2" fillId="0" borderId="0" xfId="0" applyFont="1" applyAlignment="1" applyProtection="1">
      <alignment horizontal="right"/>
    </xf>
    <xf numFmtId="0" fontId="2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right" wrapText="1"/>
    </xf>
    <xf numFmtId="166" fontId="2" fillId="0" borderId="0" xfId="0" applyNumberFormat="1" applyFont="1" applyBorder="1" applyProtection="1"/>
    <xf numFmtId="167" fontId="2" fillId="0" borderId="0" xfId="1" applyNumberFormat="1" applyFont="1" applyBorder="1" applyProtection="1"/>
    <xf numFmtId="0" fontId="2" fillId="0" borderId="0" xfId="0" applyFont="1" applyFill="1" applyProtection="1"/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center"/>
    </xf>
    <xf numFmtId="167" fontId="2" fillId="0" borderId="0" xfId="0" applyNumberFormat="1" applyFont="1" applyProtection="1"/>
    <xf numFmtId="169" fontId="2" fillId="2" borderId="0" xfId="0" applyNumberFormat="1" applyFont="1" applyFill="1" applyProtection="1"/>
    <xf numFmtId="167" fontId="2" fillId="2" borderId="0" xfId="0" applyNumberFormat="1" applyFont="1" applyFill="1" applyProtection="1"/>
    <xf numFmtId="0" fontId="2" fillId="2" borderId="0" xfId="0" applyFont="1" applyFill="1" applyProtection="1"/>
    <xf numFmtId="0" fontId="2" fillId="0" borderId="0" xfId="0" applyFont="1"/>
    <xf numFmtId="166" fontId="2" fillId="0" borderId="0" xfId="0" applyNumberFormat="1" applyFont="1"/>
    <xf numFmtId="0" fontId="2" fillId="0" borderId="0" xfId="0" applyFont="1" applyAlignment="1">
      <alignment horizontal="right"/>
    </xf>
    <xf numFmtId="0" fontId="8" fillId="3" borderId="0" xfId="0" applyFont="1" applyFill="1"/>
    <xf numFmtId="3" fontId="8" fillId="0" borderId="0" xfId="0" applyNumberFormat="1" applyFont="1" applyFill="1"/>
    <xf numFmtId="3" fontId="8" fillId="3" borderId="0" xfId="0" applyNumberFormat="1" applyFont="1" applyFill="1"/>
    <xf numFmtId="166" fontId="8" fillId="3" borderId="0" xfId="0" applyNumberFormat="1" applyFont="1" applyFill="1"/>
    <xf numFmtId="0" fontId="8" fillId="0" borderId="0" xfId="0" applyFont="1" applyFill="1"/>
    <xf numFmtId="0" fontId="7" fillId="3" borderId="0" xfId="0" applyFont="1" applyFill="1" applyAlignment="1">
      <alignment horizontal="right"/>
    </xf>
    <xf numFmtId="3" fontId="7" fillId="3" borderId="0" xfId="0" applyNumberFormat="1" applyFont="1" applyFill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right"/>
    </xf>
    <xf numFmtId="3" fontId="7" fillId="0" borderId="0" xfId="0" applyNumberFormat="1" applyFont="1" applyFill="1"/>
    <xf numFmtId="0" fontId="2" fillId="0" borderId="5" xfId="0" applyFont="1" applyBorder="1" applyAlignment="1" applyProtection="1">
      <alignment horizontal="center"/>
    </xf>
    <xf numFmtId="166" fontId="2" fillId="0" borderId="0" xfId="0" applyNumberFormat="1" applyFont="1" applyAlignment="1" applyProtection="1">
      <alignment horizontal="right"/>
    </xf>
    <xf numFmtId="0" fontId="5" fillId="0" borderId="4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8" fillId="0" borderId="5" xfId="0" applyFont="1" applyBorder="1" applyAlignment="1" applyProtection="1">
      <alignment horizontal="center"/>
    </xf>
    <xf numFmtId="0" fontId="8" fillId="0" borderId="7" xfId="0" applyFont="1" applyBorder="1" applyAlignment="1" applyProtection="1">
      <alignment horizontal="center"/>
    </xf>
    <xf numFmtId="170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0" borderId="0" xfId="0" applyFont="1" applyFill="1" applyBorder="1" applyAlignment="1" applyProtection="1">
      <alignment horizontal="center" wrapText="1"/>
    </xf>
    <xf numFmtId="171" fontId="2" fillId="0" borderId="0" xfId="0" applyNumberFormat="1" applyFont="1" applyAlignment="1" applyProtection="1">
      <alignment horizontal="center"/>
    </xf>
    <xf numFmtId="0" fontId="5" fillId="0" borderId="5" xfId="0" applyFont="1" applyBorder="1" applyAlignment="1" applyProtection="1">
      <alignment horizontal="right" vertical="center"/>
    </xf>
    <xf numFmtId="0" fontId="5" fillId="0" borderId="7" xfId="0" applyFont="1" applyBorder="1" applyAlignment="1" applyProtection="1">
      <alignment horizontal="right" vertical="center"/>
    </xf>
    <xf numFmtId="0" fontId="11" fillId="0" borderId="0" xfId="0" applyFont="1" applyBorder="1" applyAlignment="1" applyProtection="1">
      <alignment horizontal="center" vertical="center" readingOrder="1"/>
    </xf>
    <xf numFmtId="173" fontId="2" fillId="0" borderId="0" xfId="0" applyNumberFormat="1" applyFont="1" applyBorder="1" applyProtection="1"/>
    <xf numFmtId="173" fontId="2" fillId="0" borderId="0" xfId="0" applyNumberFormat="1" applyFont="1" applyBorder="1" applyAlignment="1" applyProtection="1">
      <alignment horizontal="right"/>
    </xf>
    <xf numFmtId="167" fontId="2" fillId="0" borderId="0" xfId="1" applyNumberFormat="1" applyFont="1" applyBorder="1" applyAlignment="1" applyProtection="1">
      <alignment horizontal="right"/>
    </xf>
    <xf numFmtId="165" fontId="2" fillId="0" borderId="0" xfId="2" applyFont="1" applyProtection="1"/>
    <xf numFmtId="166" fontId="8" fillId="3" borderId="0" xfId="0" applyNumberFormat="1" applyFont="1" applyFill="1" applyAlignment="1">
      <alignment horizontal="center" vertical="center"/>
    </xf>
    <xf numFmtId="166" fontId="8" fillId="3" borderId="0" xfId="0" applyNumberFormat="1" applyFont="1" applyFill="1" applyBorder="1" applyAlignment="1">
      <alignment horizontal="center" vertical="center"/>
    </xf>
    <xf numFmtId="166" fontId="8" fillId="3" borderId="1" xfId="0" applyNumberFormat="1" applyFont="1" applyFill="1" applyBorder="1" applyAlignment="1">
      <alignment horizontal="center" vertical="center"/>
    </xf>
    <xf numFmtId="166" fontId="8" fillId="3" borderId="0" xfId="0" applyNumberFormat="1" applyFont="1" applyFill="1" applyAlignment="1">
      <alignment horizontal="center"/>
    </xf>
    <xf numFmtId="170" fontId="2" fillId="0" borderId="0" xfId="0" applyNumberFormat="1" applyFont="1" applyProtection="1"/>
    <xf numFmtId="0" fontId="7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167" fontId="8" fillId="3" borderId="0" xfId="0" applyNumberFormat="1" applyFont="1" applyFill="1" applyBorder="1" applyAlignment="1">
      <alignment horizontal="center" vertical="center"/>
    </xf>
    <xf numFmtId="167" fontId="8" fillId="3" borderId="0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/>
    </xf>
    <xf numFmtId="167" fontId="8" fillId="3" borderId="0" xfId="1" applyNumberFormat="1" applyFont="1" applyFill="1" applyBorder="1" applyAlignment="1">
      <alignment horizontal="center" vertical="center"/>
    </xf>
    <xf numFmtId="166" fontId="2" fillId="0" borderId="0" xfId="0" applyNumberFormat="1" applyFont="1" applyFill="1" applyBorder="1" applyProtection="1"/>
    <xf numFmtId="166" fontId="2" fillId="2" borderId="0" xfId="0" applyNumberFormat="1" applyFont="1" applyFill="1" applyProtection="1"/>
    <xf numFmtId="49" fontId="12" fillId="0" borderId="0" xfId="0" applyNumberFormat="1" applyFont="1" applyFill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166" fontId="2" fillId="0" borderId="0" xfId="0" applyNumberFormat="1" applyFont="1" applyAlignment="1" applyProtection="1">
      <alignment horizontal="center" vertical="center"/>
    </xf>
    <xf numFmtId="166" fontId="2" fillId="0" borderId="1" xfId="0" applyNumberFormat="1" applyFont="1" applyBorder="1" applyAlignment="1" applyProtection="1">
      <alignment horizontal="center" vertical="center"/>
    </xf>
    <xf numFmtId="166" fontId="2" fillId="0" borderId="0" xfId="0" applyNumberFormat="1" applyFont="1" applyAlignment="1" applyProtection="1">
      <alignment horizontal="center"/>
    </xf>
    <xf numFmtId="0" fontId="5" fillId="0" borderId="0" xfId="0" applyFont="1" applyAlignment="1" applyProtection="1">
      <alignment horizontal="right"/>
    </xf>
    <xf numFmtId="166" fontId="5" fillId="0" borderId="0" xfId="0" applyNumberFormat="1" applyFont="1"/>
    <xf numFmtId="0" fontId="2" fillId="0" borderId="0" xfId="0" applyFont="1" applyBorder="1" applyAlignment="1" applyProtection="1">
      <alignment horizontal="center"/>
    </xf>
    <xf numFmtId="1" fontId="2" fillId="0" borderId="0" xfId="0" applyNumberFormat="1" applyFont="1" applyProtection="1"/>
    <xf numFmtId="166" fontId="8" fillId="0" borderId="0" xfId="0" applyNumberFormat="1" applyFont="1" applyFill="1" applyAlignment="1">
      <alignment horizontal="center"/>
    </xf>
    <xf numFmtId="0" fontId="9" fillId="0" borderId="0" xfId="0" applyFont="1" applyFill="1" applyAlignment="1" applyProtection="1">
      <alignment vertical="center" textRotation="90"/>
    </xf>
    <xf numFmtId="0" fontId="9" fillId="0" borderId="0" xfId="0" applyFont="1" applyFill="1" applyAlignment="1" applyProtection="1">
      <alignment horizontal="center" vertical="center" textRotation="90"/>
    </xf>
    <xf numFmtId="0" fontId="2" fillId="0" borderId="7" xfId="0" applyFont="1" applyBorder="1" applyAlignment="1" applyProtection="1">
      <alignment horizontal="center"/>
    </xf>
    <xf numFmtId="167" fontId="2" fillId="0" borderId="0" xfId="0" applyNumberFormat="1" applyFont="1" applyAlignment="1" applyProtection="1">
      <alignment horizontal="center" vertical="center"/>
    </xf>
    <xf numFmtId="9" fontId="2" fillId="0" borderId="0" xfId="1" applyFont="1" applyProtection="1"/>
    <xf numFmtId="0" fontId="2" fillId="0" borderId="0" xfId="0" applyFont="1" applyAlignment="1">
      <alignment horizontal="center" vertical="center" wrapText="1"/>
    </xf>
    <xf numFmtId="0" fontId="6" fillId="0" borderId="0" xfId="0" applyFont="1" applyBorder="1" applyAlignment="1" applyProtection="1">
      <alignment horizontal="center"/>
    </xf>
    <xf numFmtId="167" fontId="8" fillId="3" borderId="0" xfId="1" applyNumberFormat="1" applyFont="1" applyFill="1" applyAlignment="1">
      <alignment horizontal="center"/>
    </xf>
    <xf numFmtId="167" fontId="8" fillId="3" borderId="0" xfId="1" applyNumberFormat="1" applyFont="1" applyFill="1" applyAlignment="1">
      <alignment horizontal="center" vertical="center"/>
    </xf>
    <xf numFmtId="0" fontId="5" fillId="0" borderId="0" xfId="0" applyFont="1" applyFill="1" applyBorder="1" applyAlignment="1" applyProtection="1"/>
    <xf numFmtId="0" fontId="5" fillId="0" borderId="3" xfId="0" applyFont="1" applyFill="1" applyBorder="1" applyAlignment="1" applyProtection="1">
      <alignment horizontal="center"/>
    </xf>
    <xf numFmtId="0" fontId="7" fillId="3" borderId="0" xfId="0" applyFont="1" applyFill="1" applyAlignment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0" borderId="7" xfId="0" applyFont="1" applyFill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 vertical="center"/>
    </xf>
    <xf numFmtId="0" fontId="4" fillId="5" borderId="9" xfId="0" applyFont="1" applyFill="1" applyBorder="1" applyAlignment="1" applyProtection="1">
      <alignment horizontal="center" vertical="center"/>
    </xf>
    <xf numFmtId="168" fontId="8" fillId="3" borderId="0" xfId="0" applyNumberFormat="1" applyFont="1" applyFill="1" applyAlignment="1">
      <alignment horizontal="center"/>
    </xf>
    <xf numFmtId="171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172" fontId="8" fillId="3" borderId="0" xfId="0" applyNumberFormat="1" applyFont="1" applyFill="1" applyAlignment="1">
      <alignment horizontal="center"/>
    </xf>
    <xf numFmtId="4" fontId="8" fillId="3" borderId="0" xfId="0" applyNumberFormat="1" applyFont="1" applyFill="1" applyAlignment="1">
      <alignment horizontal="center"/>
    </xf>
    <xf numFmtId="3" fontId="8" fillId="0" borderId="0" xfId="0" applyNumberFormat="1" applyFont="1" applyFill="1" applyAlignment="1">
      <alignment horizontal="center"/>
    </xf>
    <xf numFmtId="9" fontId="8" fillId="0" borderId="0" xfId="1" applyFont="1" applyFill="1" applyAlignment="1">
      <alignment horizontal="center"/>
    </xf>
    <xf numFmtId="9" fontId="8" fillId="3" borderId="0" xfId="1" applyFont="1" applyFill="1" applyAlignment="1">
      <alignment horizontal="center"/>
    </xf>
    <xf numFmtId="3" fontId="7" fillId="3" borderId="0" xfId="0" applyNumberFormat="1" applyFont="1" applyFill="1" applyAlignment="1">
      <alignment horizontal="center"/>
    </xf>
    <xf numFmtId="166" fontId="8" fillId="3" borderId="0" xfId="0" applyNumberFormat="1" applyFont="1" applyFill="1" applyBorder="1" applyAlignment="1">
      <alignment horizontal="center"/>
    </xf>
    <xf numFmtId="167" fontId="8" fillId="3" borderId="0" xfId="0" applyNumberFormat="1" applyFont="1" applyFill="1" applyAlignment="1">
      <alignment horizontal="center"/>
    </xf>
    <xf numFmtId="166" fontId="8" fillId="0" borderId="0" xfId="1" applyNumberFormat="1" applyFont="1" applyFill="1" applyAlignment="1">
      <alignment horizontal="center"/>
    </xf>
    <xf numFmtId="9" fontId="2" fillId="0" borderId="0" xfId="0" applyNumberFormat="1" applyFont="1" applyProtection="1"/>
    <xf numFmtId="3" fontId="2" fillId="0" borderId="0" xfId="0" applyNumberFormat="1" applyFont="1" applyAlignment="1" applyProtection="1">
      <alignment horizontal="right"/>
    </xf>
    <xf numFmtId="166" fontId="8" fillId="3" borderId="0" xfId="1" applyNumberFormat="1" applyFont="1" applyFill="1" applyAlignment="1">
      <alignment horizontal="center"/>
    </xf>
    <xf numFmtId="0" fontId="5" fillId="0" borderId="4" xfId="0" applyFont="1" applyBorder="1" applyAlignment="1" applyProtection="1">
      <alignment horizontal="center" vertical="center"/>
    </xf>
    <xf numFmtId="0" fontId="4" fillId="5" borderId="2" xfId="0" applyFont="1" applyFill="1" applyBorder="1" applyAlignment="1" applyProtection="1">
      <alignment horizontal="center" vertical="center"/>
    </xf>
    <xf numFmtId="0" fontId="4" fillId="5" borderId="2" xfId="0" applyFont="1" applyFill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166" fontId="5" fillId="0" borderId="0" xfId="0" applyNumberFormat="1" applyFont="1" applyAlignment="1">
      <alignment horizontal="center"/>
    </xf>
    <xf numFmtId="166" fontId="2" fillId="0" borderId="0" xfId="0" applyNumberFormat="1" applyFont="1" applyFill="1" applyBorder="1" applyAlignment="1" applyProtection="1">
      <alignment horizontal="center"/>
    </xf>
    <xf numFmtId="166" fontId="2" fillId="0" borderId="6" xfId="0" applyNumberFormat="1" applyFont="1" applyFill="1" applyBorder="1" applyAlignment="1" applyProtection="1">
      <alignment horizontal="center"/>
    </xf>
    <xf numFmtId="167" fontId="2" fillId="0" borderId="1" xfId="1" applyNumberFormat="1" applyFont="1" applyFill="1" applyBorder="1" applyAlignment="1" applyProtection="1">
      <alignment horizontal="center"/>
    </xf>
    <xf numFmtId="167" fontId="2" fillId="0" borderId="8" xfId="1" applyNumberFormat="1" applyFont="1" applyFill="1" applyBorder="1" applyAlignment="1" applyProtection="1">
      <alignment horizontal="center"/>
    </xf>
    <xf numFmtId="1" fontId="4" fillId="4" borderId="10" xfId="1" applyNumberFormat="1" applyFont="1" applyFill="1" applyBorder="1" applyAlignment="1" applyProtection="1">
      <alignment horizontal="center" vertical="center"/>
      <protection locked="0"/>
    </xf>
    <xf numFmtId="166" fontId="4" fillId="4" borderId="6" xfId="0" applyNumberFormat="1" applyFont="1" applyFill="1" applyBorder="1" applyAlignment="1" applyProtection="1">
      <alignment horizontal="center" vertical="center"/>
      <protection locked="0"/>
    </xf>
    <xf numFmtId="166" fontId="4" fillId="4" borderId="8" xfId="0" applyNumberFormat="1" applyFont="1" applyFill="1" applyBorder="1" applyAlignment="1" applyProtection="1">
      <alignment horizontal="center" vertical="center"/>
      <protection locked="0"/>
    </xf>
    <xf numFmtId="166" fontId="15" fillId="4" borderId="6" xfId="0" applyNumberFormat="1" applyFont="1" applyFill="1" applyBorder="1" applyAlignment="1" applyProtection="1">
      <alignment horizontal="center" vertical="center"/>
      <protection locked="0"/>
    </xf>
    <xf numFmtId="166" fontId="15" fillId="4" borderId="8" xfId="0" applyNumberFormat="1" applyFont="1" applyFill="1" applyBorder="1" applyAlignment="1" applyProtection="1">
      <alignment horizontal="center" vertical="center"/>
      <protection locked="0"/>
    </xf>
    <xf numFmtId="9" fontId="4" fillId="4" borderId="10" xfId="1" applyFont="1" applyFill="1" applyBorder="1" applyAlignment="1" applyProtection="1">
      <alignment horizontal="center" vertical="center"/>
      <protection locked="0"/>
    </xf>
    <xf numFmtId="3" fontId="4" fillId="4" borderId="1" xfId="0" applyNumberFormat="1" applyFont="1" applyFill="1" applyBorder="1" applyAlignment="1" applyProtection="1">
      <alignment horizontal="center" vertical="center"/>
      <protection locked="0"/>
    </xf>
    <xf numFmtId="3" fontId="4" fillId="4" borderId="8" xfId="0" applyNumberFormat="1" applyFont="1" applyFill="1" applyBorder="1" applyAlignment="1" applyProtection="1">
      <alignment horizontal="center" vertical="center"/>
      <protection locked="0"/>
    </xf>
    <xf numFmtId="0" fontId="4" fillId="4" borderId="0" xfId="0" applyFont="1" applyFill="1" applyBorder="1" applyAlignment="1" applyProtection="1">
      <alignment horizontal="center"/>
      <protection locked="0"/>
    </xf>
    <xf numFmtId="0" fontId="4" fillId="4" borderId="6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0" fontId="4" fillId="4" borderId="8" xfId="0" applyFont="1" applyFill="1" applyBorder="1" applyAlignment="1" applyProtection="1">
      <alignment horizontal="center"/>
      <protection locked="0"/>
    </xf>
    <xf numFmtId="166" fontId="4" fillId="4" borderId="0" xfId="0" applyNumberFormat="1" applyFont="1" applyFill="1" applyBorder="1" applyAlignment="1" applyProtection="1">
      <alignment horizontal="center"/>
      <protection locked="0"/>
    </xf>
    <xf numFmtId="166" fontId="4" fillId="4" borderId="6" xfId="0" applyNumberFormat="1" applyFont="1" applyFill="1" applyBorder="1" applyAlignment="1" applyProtection="1">
      <alignment horizontal="center"/>
      <protection locked="0"/>
    </xf>
    <xf numFmtId="166" fontId="4" fillId="4" borderId="1" xfId="0" applyNumberFormat="1" applyFont="1" applyFill="1" applyBorder="1" applyAlignment="1" applyProtection="1">
      <alignment horizontal="center"/>
      <protection locked="0"/>
    </xf>
    <xf numFmtId="166" fontId="4" fillId="4" borderId="8" xfId="0" applyNumberFormat="1" applyFont="1" applyFill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 wrapText="1"/>
    </xf>
    <xf numFmtId="166" fontId="2" fillId="0" borderId="0" xfId="0" applyNumberFormat="1" applyFont="1" applyFill="1" applyProtection="1"/>
    <xf numFmtId="2" fontId="2" fillId="0" borderId="0" xfId="0" applyNumberFormat="1" applyFont="1" applyFill="1" applyProtection="1"/>
    <xf numFmtId="166" fontId="2" fillId="0" borderId="0" xfId="0" applyNumberFormat="1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164" fontId="2" fillId="0" borderId="0" xfId="0" applyNumberFormat="1" applyFont="1" applyFill="1" applyProtection="1"/>
    <xf numFmtId="0" fontId="5" fillId="0" borderId="0" xfId="0" applyFont="1" applyFill="1" applyBorder="1" applyAlignment="1" applyProtection="1">
      <alignment vertical="center"/>
    </xf>
    <xf numFmtId="0" fontId="4" fillId="4" borderId="0" xfId="0" applyFont="1" applyFill="1" applyAlignment="1" applyProtection="1">
      <alignment horizontal="center" vertical="center" wrapText="1"/>
    </xf>
    <xf numFmtId="0" fontId="4" fillId="5" borderId="2" xfId="0" applyFont="1" applyFill="1" applyBorder="1" applyAlignment="1" applyProtection="1">
      <alignment horizontal="center"/>
    </xf>
    <xf numFmtId="0" fontId="4" fillId="5" borderId="3" xfId="0" applyFont="1" applyFill="1" applyBorder="1" applyAlignment="1" applyProtection="1">
      <alignment horizontal="center"/>
    </xf>
    <xf numFmtId="0" fontId="4" fillId="5" borderId="4" xfId="0" applyFont="1" applyFill="1" applyBorder="1" applyAlignment="1" applyProtection="1">
      <alignment horizontal="center"/>
    </xf>
    <xf numFmtId="166" fontId="5" fillId="0" borderId="0" xfId="0" applyNumberFormat="1" applyFont="1" applyAlignment="1" applyProtection="1">
      <alignment horizontal="center"/>
    </xf>
    <xf numFmtId="0" fontId="4" fillId="5" borderId="2" xfId="0" applyFont="1" applyFill="1" applyBorder="1" applyAlignment="1" applyProtection="1">
      <alignment horizontal="center" vertical="center"/>
    </xf>
    <xf numFmtId="0" fontId="4" fillId="5" borderId="4" xfId="0" applyFont="1" applyFill="1" applyBorder="1" applyAlignment="1" applyProtection="1">
      <alignment horizontal="center" vertical="center"/>
    </xf>
    <xf numFmtId="0" fontId="3" fillId="5" borderId="0" xfId="0" applyFont="1" applyFill="1" applyAlignment="1" applyProtection="1">
      <alignment horizontal="center" vertical="center" wrapText="1"/>
    </xf>
    <xf numFmtId="0" fontId="4" fillId="5" borderId="2" xfId="0" applyFont="1" applyFill="1" applyBorder="1" applyAlignment="1" applyProtection="1">
      <alignment horizontal="center" vertical="center" wrapText="1"/>
    </xf>
    <xf numFmtId="0" fontId="4" fillId="5" borderId="5" xfId="0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 applyProtection="1">
      <alignment horizontal="center" vertical="center" wrapText="1"/>
    </xf>
    <xf numFmtId="0" fontId="5" fillId="0" borderId="3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166" fontId="5" fillId="0" borderId="7" xfId="0" applyNumberFormat="1" applyFont="1" applyFill="1" applyBorder="1" applyAlignment="1" applyProtection="1">
      <alignment horizontal="center" vertical="center"/>
    </xf>
    <xf numFmtId="166" fontId="5" fillId="0" borderId="1" xfId="0" applyNumberFormat="1" applyFont="1" applyFill="1" applyBorder="1" applyAlignment="1" applyProtection="1">
      <alignment horizontal="center" vertical="center"/>
    </xf>
    <xf numFmtId="166" fontId="5" fillId="0" borderId="8" xfId="0" applyNumberFormat="1" applyFont="1" applyFill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4" fillId="5" borderId="0" xfId="0" applyFont="1" applyFill="1" applyBorder="1" applyAlignment="1" applyProtection="1">
      <alignment horizontal="center" vertical="center"/>
    </xf>
    <xf numFmtId="0" fontId="9" fillId="5" borderId="0" xfId="0" applyFont="1" applyFill="1" applyAlignment="1" applyProtection="1">
      <alignment horizontal="center" vertical="center" textRotation="90"/>
    </xf>
    <xf numFmtId="0" fontId="9" fillId="5" borderId="0" xfId="0" applyFont="1" applyFill="1" applyAlignment="1" applyProtection="1">
      <alignment horizontal="center" vertical="center"/>
    </xf>
    <xf numFmtId="0" fontId="5" fillId="0" borderId="0" xfId="0" applyFont="1" applyBorder="1" applyAlignment="1" applyProtection="1">
      <alignment horizontal="right" vertical="center"/>
    </xf>
    <xf numFmtId="0" fontId="4" fillId="4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 baseline="0">
                <a:latin typeface="Segoe UI Light" panose="020B0502040204020203" pitchFamily="34" charset="0"/>
                <a:cs typeface="Segoe UI Light" panose="020B0502040204020203" pitchFamily="34" charset="0"/>
              </a:rPr>
              <a:t>Revenue Composition</a:t>
            </a:r>
            <a:endParaRPr lang="en-US">
              <a:latin typeface="Segoe UI Light" panose="020B0502040204020203" pitchFamily="34" charset="0"/>
              <a:cs typeface="Segoe UI Ligh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'Key Business Variables'!$K$55</c:f>
              <c:strCache>
                <c:ptCount val="1"/>
                <c:pt idx="0">
                  <c:v>Initial Project Fees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'Key Business Variables'!$L$54:$O$54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'Key Business Variables'!$L$55:$O$55</c:f>
              <c:numCache>
                <c:formatCode>"$"#,##0</c:formatCode>
                <c:ptCount val="4"/>
                <c:pt idx="0">
                  <c:v>99999.999999999985</c:v>
                </c:pt>
                <c:pt idx="1">
                  <c:v>99999.999999999985</c:v>
                </c:pt>
                <c:pt idx="2">
                  <c:v>150000</c:v>
                </c:pt>
                <c:pt idx="3">
                  <c:v>199999.99999999997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7-4979-B7AD-AB65CA0F9CB1}"/>
            </c:ext>
          </c:extLst>
        </c:ser>
        <c:ser>
          <c:idx val="3"/>
          <c:order val="1"/>
          <c:tx>
            <c:strRef>
              <c:f>'Key Business Variables'!$K$56</c:f>
              <c:strCache>
                <c:ptCount val="1"/>
                <c:pt idx="0">
                  <c:v>Ongoing Support Fees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'Key Business Variables'!$L$54:$O$54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'Key Business Variables'!$L$56:$O$56</c:f>
              <c:numCache>
                <c:formatCode>"$"#,##0</c:formatCode>
                <c:ptCount val="4"/>
                <c:pt idx="0">
                  <c:v>10833.333333333332</c:v>
                </c:pt>
                <c:pt idx="1">
                  <c:v>30375.000000000007</c:v>
                </c:pt>
                <c:pt idx="2">
                  <c:v>54791.66666666665</c:v>
                </c:pt>
                <c:pt idx="3">
                  <c:v>88979.166666666613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7-4979-B7AD-AB65CA0F9CB1}"/>
            </c:ext>
          </c:extLst>
        </c:ser>
        <c:ser>
          <c:idx val="4"/>
          <c:order val="2"/>
          <c:tx>
            <c:strRef>
              <c:f>'Key Business Variables'!$K$57</c:f>
              <c:strCache>
                <c:ptCount val="1"/>
                <c:pt idx="0">
                  <c:v>Power App Subscription Fees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'Key Business Variables'!$L$54:$O$54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'Key Business Variables'!$L$57:$O$57</c:f>
              <c:numCache>
                <c:formatCode>"$"#,##0</c:formatCode>
                <c:ptCount val="4"/>
                <c:pt idx="0">
                  <c:v>93600</c:v>
                </c:pt>
                <c:pt idx="1">
                  <c:v>262440.00000000006</c:v>
                </c:pt>
                <c:pt idx="2">
                  <c:v>473399.99999999994</c:v>
                </c:pt>
                <c:pt idx="3">
                  <c:v>768779.99999999977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2-4E20-9A95-84DB08C965B5}"/>
            </c:ext>
          </c:extLst>
        </c:ser>
        <c:ser>
          <c:idx val="0"/>
          <c:order val="3"/>
          <c:tx>
            <c:strRef>
              <c:f>'Key Business Variables'!$K$58</c:f>
              <c:strCache>
                <c:ptCount val="1"/>
                <c:pt idx="0">
                  <c:v>Partner IP Subscription Fees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'Key Business Variables'!$L$54:$O$54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'Key Business Variables'!$L$58:$O$58</c:f>
              <c:numCache>
                <c:formatCode>"$"#,##0</c:formatCode>
                <c:ptCount val="4"/>
                <c:pt idx="0">
                  <c:v>9360</c:v>
                </c:pt>
                <c:pt idx="1">
                  <c:v>26244.000000000007</c:v>
                </c:pt>
                <c:pt idx="2">
                  <c:v>47339.999999999993</c:v>
                </c:pt>
                <c:pt idx="3">
                  <c:v>76877.999999999956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F-4381-936E-9A8AE9B89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124684192"/>
        <c:axId val="124686152"/>
        <c:extLst/>
      </c:barChart>
      <c:catAx>
        <c:axId val="12468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24686152"/>
        <c:crossesAt val="0"/>
        <c:auto val="1"/>
        <c:lblAlgn val="ctr"/>
        <c:lblOffset val="100"/>
        <c:noMultiLvlLbl val="0"/>
      </c:catAx>
      <c:valAx>
        <c:axId val="12468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246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r>
              <a:rPr lang="en-US" baseline="0">
                <a:latin typeface="Segoe UI Light" panose="020B0502040204020203" pitchFamily="34" charset="0"/>
                <a:cs typeface="Segoe UI Light" panose="020B0502040204020203" pitchFamily="34" charset="0"/>
              </a:rPr>
              <a:t>Power App Subscribers</a:t>
            </a:r>
            <a:endParaRPr lang="en-US">
              <a:latin typeface="Segoe UI Light" panose="020B0502040204020203" pitchFamily="34" charset="0"/>
              <a:cs typeface="Segoe UI Ligh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'Key Business Variables'!$K$61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'Key Business Variables'!$L$60:$O$60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'Key Business Variables'!$L$61:$O$61</c:f>
              <c:numCache>
                <c:formatCode>0</c:formatCode>
                <c:ptCount val="4"/>
                <c:pt idx="0">
                  <c:v>120</c:v>
                </c:pt>
                <c:pt idx="1">
                  <c:v>234.49999999999997</c:v>
                </c:pt>
                <c:pt idx="2">
                  <c:v>408.49999999999989</c:v>
                </c:pt>
                <c:pt idx="3">
                  <c:v>639.74999999999955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C-4256-907D-9F1C2750C936}"/>
            </c:ext>
          </c:extLst>
        </c:ser>
        <c:ser>
          <c:idx val="0"/>
          <c:order val="1"/>
          <c:tx>
            <c:strRef>
              <c:f>'Key Business Variables'!$K$62</c:f>
              <c:strCache>
                <c:ptCount val="1"/>
                <c:pt idx="0">
                  <c:v>Partner 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'Key Business Variables'!$L$60:$O$60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'Key Business Variables'!$L$62:$O$62</c:f>
              <c:numCache>
                <c:formatCode>0</c:formatCode>
                <c:ptCount val="4"/>
                <c:pt idx="0">
                  <c:v>96</c:v>
                </c:pt>
                <c:pt idx="1">
                  <c:v>187.59999999999997</c:v>
                </c:pt>
                <c:pt idx="2">
                  <c:v>326.79999999999995</c:v>
                </c:pt>
                <c:pt idx="3">
                  <c:v>511.79999999999961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7D-4606-91A5-5431E06C1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axId val="124684192"/>
        <c:axId val="124686152"/>
        <c:extLst/>
      </c:barChart>
      <c:catAx>
        <c:axId val="12468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en-US"/>
          </a:p>
        </c:txPr>
        <c:crossAx val="124686152"/>
        <c:crossesAt val="0"/>
        <c:auto val="1"/>
        <c:lblAlgn val="ctr"/>
        <c:lblOffset val="100"/>
        <c:noMultiLvlLbl val="0"/>
      </c:catAx>
      <c:valAx>
        <c:axId val="124686152"/>
        <c:scaling>
          <c:orientation val="minMax"/>
        </c:scaling>
        <c:delete val="1"/>
        <c:axPos val="l"/>
        <c:numFmt formatCode="&quot;$&quot;#,##0" sourceLinked="0"/>
        <c:majorTickMark val="none"/>
        <c:minorTickMark val="none"/>
        <c:tickLblPos val="nextTo"/>
        <c:crossAx val="1246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6">
                    <a:lumMod val="50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defRPr>
            </a:pPr>
            <a:r>
              <a:rPr lang="en-US">
                <a:latin typeface="Segoe UI Light" panose="020B0502040204020203" pitchFamily="34" charset="0"/>
                <a:cs typeface="Segoe UI Light" panose="020B0502040204020203" pitchFamily="34" charset="0"/>
              </a:rPr>
              <a:t>Monthly</a:t>
            </a:r>
            <a:r>
              <a:rPr lang="en-US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</a:t>
            </a:r>
            <a:r>
              <a:rPr lang="en-US">
                <a:latin typeface="Segoe UI Light" panose="020B0502040204020203" pitchFamily="34" charset="0"/>
                <a:cs typeface="Segoe UI Light" panose="020B0502040204020203" pitchFamily="34" charset="0"/>
              </a:rPr>
              <a:t>Cumulative Cash Flow</a:t>
            </a:r>
          </a:p>
        </c:rich>
      </c:tx>
      <c:layout>
        <c:manualLayout>
          <c:xMode val="edge"/>
          <c:yMode val="edge"/>
          <c:x val="0.31345695716877175"/>
          <c:y val="0.2134251290877796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898466325320235E-2"/>
          <c:y val="2.5304888171029903E-2"/>
          <c:w val="0.93619047051366877"/>
          <c:h val="0.931258972689600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'Cash Flow Impact'!$B$52</c:f>
              <c:strCache>
                <c:ptCount val="1"/>
                <c:pt idx="0">
                  <c:v>Monthly Cumulative Cash Flow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</c:spPr>
          <c:invertIfNegative val="0"/>
          <c:val>
            <c:numRef>
              <c:f>'Cash Flow Impact'!$C$52:$AX$52</c:f>
              <c:numCache>
                <c:formatCode>"$"#,##0</c:formatCode>
                <c:ptCount val="48"/>
                <c:pt idx="0">
                  <c:v>-4441.1111111111113</c:v>
                </c:pt>
                <c:pt idx="1">
                  <c:v>-4156.6666666666679</c:v>
                </c:pt>
                <c:pt idx="2">
                  <c:v>-3313.3333333333358</c:v>
                </c:pt>
                <c:pt idx="3">
                  <c:v>-1911.111111111115</c:v>
                </c:pt>
                <c:pt idx="4">
                  <c:v>49.999999999996362</c:v>
                </c:pt>
                <c:pt idx="5">
                  <c:v>2569.9999999999964</c:v>
                </c:pt>
                <c:pt idx="6">
                  <c:v>5648.8888888888832</c:v>
                </c:pt>
                <c:pt idx="7">
                  <c:v>9286.6666666666606</c:v>
                </c:pt>
                <c:pt idx="8">
                  <c:v>13483.333333333328</c:v>
                </c:pt>
                <c:pt idx="9">
                  <c:v>18238.888888888883</c:v>
                </c:pt>
                <c:pt idx="10">
                  <c:v>23553.333333333325</c:v>
                </c:pt>
                <c:pt idx="11">
                  <c:v>29426.666666666657</c:v>
                </c:pt>
                <c:pt idx="12">
                  <c:v>31692.222222222212</c:v>
                </c:pt>
                <c:pt idx="13">
                  <c:v>34488.722222222212</c:v>
                </c:pt>
                <c:pt idx="14">
                  <c:v>37816.166666666657</c:v>
                </c:pt>
                <c:pt idx="15">
                  <c:v>41674.555555555547</c:v>
                </c:pt>
                <c:pt idx="16">
                  <c:v>46063.888888888883</c:v>
                </c:pt>
                <c:pt idx="17">
                  <c:v>50984.166666666664</c:v>
                </c:pt>
                <c:pt idx="18">
                  <c:v>56435.388888888891</c:v>
                </c:pt>
                <c:pt idx="19">
                  <c:v>62417.555555555562</c:v>
                </c:pt>
                <c:pt idx="20">
                  <c:v>68930.666666666686</c:v>
                </c:pt>
                <c:pt idx="21">
                  <c:v>75974.722222222248</c:v>
                </c:pt>
                <c:pt idx="22">
                  <c:v>83549.722222222248</c:v>
                </c:pt>
                <c:pt idx="23">
                  <c:v>91655.666666666686</c:v>
                </c:pt>
                <c:pt idx="24">
                  <c:v>104738.66666666669</c:v>
                </c:pt>
                <c:pt idx="25">
                  <c:v>118632.05555555558</c:v>
                </c:pt>
                <c:pt idx="26">
                  <c:v>133335.83333333334</c:v>
                </c:pt>
                <c:pt idx="27">
                  <c:v>148850</c:v>
                </c:pt>
                <c:pt idx="28">
                  <c:v>165174.55555555556</c:v>
                </c:pt>
                <c:pt idx="29">
                  <c:v>182309.5</c:v>
                </c:pt>
                <c:pt idx="30">
                  <c:v>200254.83333333331</c:v>
                </c:pt>
                <c:pt idx="31">
                  <c:v>219010.55555555553</c:v>
                </c:pt>
                <c:pt idx="32">
                  <c:v>238576.66666666663</c:v>
                </c:pt>
                <c:pt idx="33">
                  <c:v>258953.16666666663</c:v>
                </c:pt>
                <c:pt idx="34">
                  <c:v>280140.0555555555</c:v>
                </c:pt>
                <c:pt idx="35">
                  <c:v>302137.33333333326</c:v>
                </c:pt>
                <c:pt idx="36">
                  <c:v>329391.11111111101</c:v>
                </c:pt>
                <c:pt idx="37">
                  <c:v>357720.74999999988</c:v>
                </c:pt>
                <c:pt idx="38">
                  <c:v>387126.24999999988</c:v>
                </c:pt>
                <c:pt idx="39">
                  <c:v>417607.61111111101</c:v>
                </c:pt>
                <c:pt idx="40">
                  <c:v>449164.83333333326</c:v>
                </c:pt>
                <c:pt idx="41">
                  <c:v>481797.91666666657</c:v>
                </c:pt>
                <c:pt idx="42">
                  <c:v>515506.86111111101</c:v>
                </c:pt>
                <c:pt idx="43">
                  <c:v>550291.66666666651</c:v>
                </c:pt>
                <c:pt idx="44">
                  <c:v>586152.33333333314</c:v>
                </c:pt>
                <c:pt idx="45">
                  <c:v>623088.86111111089</c:v>
                </c:pt>
                <c:pt idx="46">
                  <c:v>661101.24999999977</c:v>
                </c:pt>
                <c:pt idx="47">
                  <c:v>700189.49999999977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4-48CE-8E21-DB60FBC55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4898872"/>
        <c:axId val="244900440"/>
      </c:barChart>
      <c:catAx>
        <c:axId val="24489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Segoe UI Light" panose="020B0502040204020203" pitchFamily="34" charset="0"/>
                    <a:cs typeface="Segoe UI Light" panose="020B0502040204020203" pitchFamily="34" charset="0"/>
                  </a:defRPr>
                </a:pPr>
                <a:r>
                  <a:rPr lang="en-US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Month</a:t>
                </a:r>
              </a:p>
            </c:rich>
          </c:tx>
          <c:layout>
            <c:manualLayout>
              <c:xMode val="edge"/>
              <c:yMode val="edge"/>
              <c:x val="0.47068318958237715"/>
              <c:y val="0.93762460415339643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Segoe UI Light" panose="020B0502040204020203" pitchFamily="34" charset="0"/>
                <a:cs typeface="Segoe UI Light" panose="020B0502040204020203" pitchFamily="34" charset="0"/>
              </a:defRPr>
            </a:pPr>
            <a:endParaRPr lang="en-US"/>
          </a:p>
        </c:txPr>
        <c:crossAx val="244900440"/>
        <c:crosses val="autoZero"/>
        <c:auto val="1"/>
        <c:lblAlgn val="ctr"/>
        <c:lblOffset val="100"/>
        <c:noMultiLvlLbl val="0"/>
      </c:catAx>
      <c:valAx>
        <c:axId val="244900440"/>
        <c:scaling>
          <c:orientation val="minMax"/>
        </c:scaling>
        <c:delete val="0"/>
        <c:axPos val="l"/>
        <c:numFmt formatCode="&quot;$&quot;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Segoe UI Light" panose="020B0502040204020203" pitchFamily="34" charset="0"/>
                <a:cs typeface="Segoe UI Light" panose="020B0502040204020203" pitchFamily="34" charset="0"/>
              </a:defRPr>
            </a:pPr>
            <a:endParaRPr lang="en-US"/>
          </a:p>
        </c:txPr>
        <c:crossAx val="24489887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16" fmlaLink="$C$43" horiz="1" max="100" page="10" val="80"/>
</file>

<file path=xl/ctrlProps/ctrlProp2.xml><?xml version="1.0" encoding="utf-8"?>
<formControlPr xmlns="http://schemas.microsoft.com/office/spreadsheetml/2009/9/main" objectType="Scroll" dx="16" fmlaLink="$C$44" horiz="1" max="100" page="10" val="8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275167</xdr:colOff>
      <xdr:row>28</xdr:row>
      <xdr:rowOff>176389</xdr:rowOff>
    </xdr:from>
    <xdr:to>
      <xdr:col>2</xdr:col>
      <xdr:colOff>656166</xdr:colOff>
      <xdr:row>30</xdr:row>
      <xdr:rowOff>63501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52778" y="5390445"/>
          <a:ext cx="3280832" cy="52211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100">
              <a:latin typeface="Segoe UI Light" panose="020B0502040204020203" pitchFamily="34" charset="0"/>
              <a:cs typeface="Segoe UI Light" panose="020B0502040204020203" pitchFamily="34" charset="0"/>
            </a:rPr>
            <a:t>© Partner</a:t>
          </a:r>
          <a:r>
            <a:rPr lang="en-CA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 Economics</a:t>
          </a:r>
          <a:r>
            <a:rPr lang="en-CA" sz="1100">
              <a:latin typeface="Segoe UI Light" panose="020B0502040204020203" pitchFamily="34" charset="0"/>
              <a:cs typeface="Segoe UI Light" panose="020B0502040204020203" pitchFamily="34" charset="0"/>
            </a:rPr>
            <a:t> 2021. All rights reserved.</a:t>
          </a:r>
        </a:p>
      </xdr:txBody>
    </xdr:sp>
    <xdr:clientData/>
  </xdr:twoCellAnchor>
  <xdr:twoCellAnchor editAs="absolute">
    <xdr:from>
      <xdr:col>10</xdr:col>
      <xdr:colOff>21166</xdr:colOff>
      <xdr:row>1</xdr:row>
      <xdr:rowOff>21167</xdr:rowOff>
    </xdr:from>
    <xdr:to>
      <xdr:col>12</xdr:col>
      <xdr:colOff>211666</xdr:colOff>
      <xdr:row>30</xdr:row>
      <xdr:rowOff>162278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18</xdr:row>
          <xdr:rowOff>0</xdr:rowOff>
        </xdr:from>
        <xdr:to>
          <xdr:col>8</xdr:col>
          <xdr:colOff>9525</xdr:colOff>
          <xdr:row>19</xdr:row>
          <xdr:rowOff>38100</xdr:rowOff>
        </xdr:to>
        <xdr:sp macro="" textlink="">
          <xdr:nvSpPr>
            <xdr:cNvPr id="1229" name="Scroll Bar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xdr:twoCellAnchor editAs="oneCell">
    <xdr:from>
      <xdr:col>1</xdr:col>
      <xdr:colOff>737996</xdr:colOff>
      <xdr:row>25</xdr:row>
      <xdr:rowOff>95332</xdr:rowOff>
    </xdr:from>
    <xdr:to>
      <xdr:col>2</xdr:col>
      <xdr:colOff>76157</xdr:colOff>
      <xdr:row>28</xdr:row>
      <xdr:rowOff>49389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774" y="5372888"/>
          <a:ext cx="2237994" cy="56789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21</xdr:row>
          <xdr:rowOff>0</xdr:rowOff>
        </xdr:from>
        <xdr:to>
          <xdr:col>8</xdr:col>
          <xdr:colOff>9525</xdr:colOff>
          <xdr:row>22</xdr:row>
          <xdr:rowOff>47625</xdr:rowOff>
        </xdr:to>
        <xdr:sp macro="" textlink="">
          <xdr:nvSpPr>
            <xdr:cNvPr id="1245" name="Scroll Bar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  <xdr:twoCellAnchor editAs="absolute">
    <xdr:from>
      <xdr:col>12</xdr:col>
      <xdr:colOff>345723</xdr:colOff>
      <xdr:row>1</xdr:row>
      <xdr:rowOff>7056</xdr:rowOff>
    </xdr:from>
    <xdr:to>
      <xdr:col>15</xdr:col>
      <xdr:colOff>21167</xdr:colOff>
      <xdr:row>30</xdr:row>
      <xdr:rowOff>169333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395093</xdr:colOff>
      <xdr:row>12</xdr:row>
      <xdr:rowOff>114301</xdr:rowOff>
    </xdr:from>
    <xdr:to>
      <xdr:col>0</xdr:col>
      <xdr:colOff>1034827</xdr:colOff>
      <xdr:row>26</xdr:row>
      <xdr:rowOff>117012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-546871" y="3647065"/>
          <a:ext cx="2523661" cy="639734"/>
        </a:xfrm>
        <a:prstGeom prst="rect">
          <a:avLst/>
        </a:prstGeom>
      </xdr:spPr>
    </xdr:pic>
    <xdr:clientData/>
  </xdr:twoCellAnchor>
  <xdr:twoCellAnchor>
    <xdr:from>
      <xdr:col>0</xdr:col>
      <xdr:colOff>296109</xdr:colOff>
      <xdr:row>3</xdr:row>
      <xdr:rowOff>69849</xdr:rowOff>
    </xdr:from>
    <xdr:to>
      <xdr:col>0</xdr:col>
      <xdr:colOff>1231902</xdr:colOff>
      <xdr:row>10</xdr:row>
      <xdr:rowOff>106856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rot="16200000">
          <a:off x="-92698" y="1049206"/>
          <a:ext cx="1713407" cy="9357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100">
              <a:latin typeface="Segoe UI Light" panose="020B0502040204020203" pitchFamily="34" charset="0"/>
              <a:cs typeface="Segoe UI Light" panose="020B0502040204020203" pitchFamily="34" charset="0"/>
            </a:rPr>
            <a:t>© Partner</a:t>
          </a:r>
          <a:r>
            <a:rPr lang="en-CA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 Economics</a:t>
          </a:r>
          <a:r>
            <a:rPr lang="en-CA" sz="1100">
              <a:latin typeface="Segoe UI Light" panose="020B0502040204020203" pitchFamily="34" charset="0"/>
              <a:cs typeface="Segoe UI Light" panose="020B0502040204020203" pitchFamily="34" charset="0"/>
            </a:rPr>
            <a:t> 2021. All rights reserved.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224972</xdr:colOff>
      <xdr:row>3</xdr:row>
      <xdr:rowOff>63500</xdr:rowOff>
    </xdr:from>
    <xdr:to>
      <xdr:col>21</xdr:col>
      <xdr:colOff>5897</xdr:colOff>
      <xdr:row>27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241300</xdr:colOff>
      <xdr:row>4</xdr:row>
      <xdr:rowOff>0</xdr:rowOff>
    </xdr:from>
    <xdr:to>
      <xdr:col>5</xdr:col>
      <xdr:colOff>473790</xdr:colOff>
      <xdr:row>6</xdr:row>
      <xdr:rowOff>123287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1300" y="838200"/>
          <a:ext cx="2137490" cy="542387"/>
        </a:xfrm>
        <a:prstGeom prst="rect">
          <a:avLst/>
        </a:prstGeom>
      </xdr:spPr>
    </xdr:pic>
    <xdr:clientData/>
  </xdr:twoCellAnchor>
  <xdr:twoCellAnchor>
    <xdr:from>
      <xdr:col>1</xdr:col>
      <xdr:colOff>482600</xdr:colOff>
      <xdr:row>26</xdr:row>
      <xdr:rowOff>25400</xdr:rowOff>
    </xdr:from>
    <xdr:to>
      <xdr:col>4</xdr:col>
      <xdr:colOff>273292</xdr:colOff>
      <xdr:row>29</xdr:row>
      <xdr:rowOff>102866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117600" y="5473700"/>
          <a:ext cx="1695692" cy="70611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CA" sz="1100">
              <a:latin typeface="Segoe UI Light" panose="020B0502040204020203" pitchFamily="34" charset="0"/>
              <a:cs typeface="Segoe UI Light" panose="020B0502040204020203" pitchFamily="34" charset="0"/>
            </a:rPr>
            <a:t>© Partner</a:t>
          </a:r>
          <a:r>
            <a:rPr lang="en-CA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 Economics</a:t>
          </a:r>
          <a:r>
            <a:rPr lang="en-CA" sz="1100">
              <a:latin typeface="Segoe UI Light" panose="020B0502040204020203" pitchFamily="34" charset="0"/>
              <a:cs typeface="Segoe UI Light" panose="020B0502040204020203" pitchFamily="34" charset="0"/>
            </a:rPr>
            <a:t> 2021. All rights reserved.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62"/>
  <sheetViews>
    <sheetView showGridLines="0" showZeros="0" zoomScale="90" zoomScaleNormal="90" workbookViewId="0">
      <selection activeCell="Q10" sqref="Q10"/>
    </sheetView>
  </sheetViews>
  <sheetFormatPr defaultColWidth="9.140625" defaultRowHeight="16.5" x14ac:dyDescent="0.3"/>
  <cols>
    <col min="1" max="1" width="1.42578125" style="1" customWidth="1"/>
    <col min="2" max="2" width="41.5703125" style="1" customWidth="1"/>
    <col min="3" max="3" width="12" style="1" customWidth="1"/>
    <col min="4" max="4" width="1.5703125" style="1" customWidth="1"/>
    <col min="5" max="5" width="33.85546875" style="1" customWidth="1"/>
    <col min="6" max="6" width="13.7109375" style="1" customWidth="1"/>
    <col min="7" max="7" width="12.7109375" style="1" customWidth="1"/>
    <col min="8" max="9" width="13.7109375" style="1" customWidth="1"/>
    <col min="10" max="10" width="1.7109375" style="1" customWidth="1"/>
    <col min="11" max="11" width="19.140625" style="1" customWidth="1"/>
    <col min="12" max="15" width="13.5703125" style="1" customWidth="1"/>
    <col min="16" max="16" width="15.7109375" style="1" customWidth="1"/>
    <col min="17" max="17" width="12.140625" style="1" customWidth="1"/>
    <col min="18" max="16384" width="9.140625" style="1"/>
  </cols>
  <sheetData>
    <row r="1" spans="2:12" ht="9.6" customHeight="1" x14ac:dyDescent="0.3"/>
    <row r="2" spans="2:12" ht="53.45" customHeight="1" x14ac:dyDescent="0.3">
      <c r="B2" s="154" t="s">
        <v>85</v>
      </c>
      <c r="C2" s="154"/>
      <c r="D2" s="154"/>
      <c r="E2" s="154"/>
      <c r="F2" s="154"/>
      <c r="G2" s="154"/>
      <c r="H2" s="154"/>
      <c r="I2" s="154"/>
    </row>
    <row r="3" spans="2:12" ht="6.95" customHeight="1" x14ac:dyDescent="0.3"/>
    <row r="4" spans="2:12" ht="15" customHeight="1" x14ac:dyDescent="0.3">
      <c r="B4" s="161" t="s">
        <v>51</v>
      </c>
      <c r="C4" s="161"/>
      <c r="E4" s="162" t="s">
        <v>39</v>
      </c>
      <c r="F4" s="165" t="s">
        <v>12</v>
      </c>
      <c r="G4" s="165" t="s">
        <v>7</v>
      </c>
      <c r="H4" s="165" t="s">
        <v>8</v>
      </c>
      <c r="I4" s="170" t="s">
        <v>9</v>
      </c>
      <c r="J4" s="123"/>
    </row>
    <row r="5" spans="2:12" ht="15.75" customHeight="1" x14ac:dyDescent="0.3">
      <c r="B5" s="161"/>
      <c r="C5" s="161"/>
      <c r="E5" s="163"/>
      <c r="F5" s="166"/>
      <c r="G5" s="166"/>
      <c r="H5" s="166"/>
      <c r="I5" s="171"/>
      <c r="J5" s="2"/>
    </row>
    <row r="6" spans="2:12" ht="14.25" customHeight="1" x14ac:dyDescent="0.3">
      <c r="B6" s="161"/>
      <c r="C6" s="161"/>
      <c r="E6" s="164"/>
      <c r="F6" s="135">
        <v>10</v>
      </c>
      <c r="G6" s="135">
        <v>10</v>
      </c>
      <c r="H6" s="135">
        <v>15</v>
      </c>
      <c r="I6" s="136">
        <v>20</v>
      </c>
      <c r="J6" s="3"/>
    </row>
    <row r="7" spans="2:12" ht="15" customHeight="1" x14ac:dyDescent="0.3">
      <c r="D7" s="4"/>
      <c r="J7" s="5"/>
    </row>
    <row r="8" spans="2:12" ht="16.149999999999999" customHeight="1" x14ac:dyDescent="0.3">
      <c r="B8" s="103" t="s">
        <v>67</v>
      </c>
      <c r="C8" s="129">
        <v>12</v>
      </c>
      <c r="D8" s="4"/>
      <c r="E8" s="120" t="s">
        <v>82</v>
      </c>
      <c r="F8" s="122" t="s">
        <v>12</v>
      </c>
      <c r="G8" s="122" t="s">
        <v>7</v>
      </c>
      <c r="H8" s="122" t="s">
        <v>8</v>
      </c>
      <c r="I8" s="119" t="s">
        <v>9</v>
      </c>
      <c r="J8" s="3"/>
    </row>
    <row r="9" spans="2:12" ht="16.149999999999999" customHeight="1" x14ac:dyDescent="0.3">
      <c r="D9" s="4"/>
      <c r="E9" s="48" t="str">
        <f>B17</f>
        <v>Architect</v>
      </c>
      <c r="F9" s="137">
        <v>0.5</v>
      </c>
      <c r="G9" s="137">
        <v>0.5</v>
      </c>
      <c r="H9" s="137">
        <v>0.5</v>
      </c>
      <c r="I9" s="138">
        <v>0.5</v>
      </c>
      <c r="J9" s="6"/>
    </row>
    <row r="10" spans="2:12" ht="16.149999999999999" customHeight="1" x14ac:dyDescent="0.3">
      <c r="B10" s="159" t="s">
        <v>54</v>
      </c>
      <c r="C10" s="160"/>
      <c r="D10" s="4"/>
      <c r="E10" s="48" t="str">
        <f>B18</f>
        <v>Developer</v>
      </c>
      <c r="F10" s="137">
        <v>0.5</v>
      </c>
      <c r="G10" s="137">
        <v>1</v>
      </c>
      <c r="H10" s="137">
        <v>1</v>
      </c>
      <c r="I10" s="138">
        <v>1</v>
      </c>
      <c r="J10" s="6"/>
    </row>
    <row r="11" spans="2:12" ht="16.149999999999999" customHeight="1" x14ac:dyDescent="0.3">
      <c r="B11" s="100" t="s">
        <v>55</v>
      </c>
      <c r="C11" s="130">
        <v>10000</v>
      </c>
      <c r="D11" s="7"/>
      <c r="E11" s="100" t="str">
        <f>B19</f>
        <v>Business Analyst</v>
      </c>
      <c r="F11" s="137"/>
      <c r="G11" s="137"/>
      <c r="H11" s="137"/>
      <c r="I11" s="138"/>
    </row>
    <row r="12" spans="2:12" ht="16.149999999999999" customHeight="1" x14ac:dyDescent="0.3">
      <c r="B12" s="100" t="s">
        <v>56</v>
      </c>
      <c r="C12" s="130">
        <v>2500</v>
      </c>
      <c r="D12" s="7"/>
      <c r="E12" s="90" t="str">
        <f>B20</f>
        <v>Manager</v>
      </c>
      <c r="F12" s="139"/>
      <c r="G12" s="139"/>
      <c r="H12" s="139"/>
      <c r="I12" s="140"/>
    </row>
    <row r="13" spans="2:12" ht="16.149999999999999" customHeight="1" x14ac:dyDescent="0.3">
      <c r="B13" s="100" t="s">
        <v>81</v>
      </c>
      <c r="C13" s="130">
        <v>1440</v>
      </c>
      <c r="D13" s="8"/>
    </row>
    <row r="14" spans="2:12" ht="15.95" customHeight="1" x14ac:dyDescent="0.3">
      <c r="B14" s="101" t="s">
        <v>80</v>
      </c>
      <c r="C14" s="131">
        <f>15*12</f>
        <v>180</v>
      </c>
      <c r="D14" s="9"/>
      <c r="E14" s="121" t="s">
        <v>52</v>
      </c>
      <c r="F14" s="98" t="s">
        <v>12</v>
      </c>
      <c r="G14" s="98" t="s">
        <v>7</v>
      </c>
      <c r="H14" s="98" t="s">
        <v>8</v>
      </c>
      <c r="I14" s="50" t="s">
        <v>9</v>
      </c>
      <c r="L14" s="10"/>
    </row>
    <row r="15" spans="2:12" ht="15.95" customHeight="1" x14ac:dyDescent="0.3">
      <c r="D15" s="9"/>
      <c r="E15" s="102" t="s">
        <v>53</v>
      </c>
      <c r="F15" s="141"/>
      <c r="G15" s="141"/>
      <c r="H15" s="141"/>
      <c r="I15" s="142"/>
      <c r="L15" s="10"/>
    </row>
    <row r="16" spans="2:12" ht="15.95" customHeight="1" x14ac:dyDescent="0.3">
      <c r="B16" s="159" t="s">
        <v>37</v>
      </c>
      <c r="C16" s="160"/>
      <c r="D16" s="9"/>
      <c r="E16" s="90" t="s">
        <v>83</v>
      </c>
      <c r="F16" s="143"/>
      <c r="G16" s="143"/>
      <c r="H16" s="143"/>
      <c r="I16" s="144"/>
      <c r="L16" s="10"/>
    </row>
    <row r="17" spans="2:17" ht="15.95" customHeight="1" x14ac:dyDescent="0.3">
      <c r="B17" s="48" t="s">
        <v>57</v>
      </c>
      <c r="C17" s="132">
        <v>120000</v>
      </c>
      <c r="D17" s="9"/>
      <c r="L17" s="10"/>
    </row>
    <row r="18" spans="2:17" ht="15.75" customHeight="1" x14ac:dyDescent="0.3">
      <c r="B18" s="52" t="s">
        <v>58</v>
      </c>
      <c r="C18" s="132">
        <v>100000</v>
      </c>
      <c r="D18" s="9"/>
      <c r="E18" s="172" t="s">
        <v>61</v>
      </c>
      <c r="F18" s="172"/>
      <c r="G18" s="172"/>
      <c r="H18" s="172"/>
      <c r="I18" s="69"/>
      <c r="L18" s="10"/>
    </row>
    <row r="19" spans="2:17" ht="15.95" customHeight="1" x14ac:dyDescent="0.3">
      <c r="B19" s="52" t="s">
        <v>59</v>
      </c>
      <c r="C19" s="132">
        <v>85000</v>
      </c>
      <c r="I19" s="12">
        <f>C43/100</f>
        <v>0.8</v>
      </c>
      <c r="L19" s="10"/>
    </row>
    <row r="20" spans="2:17" ht="15.75" customHeight="1" x14ac:dyDescent="0.3">
      <c r="B20" s="53" t="s">
        <v>60</v>
      </c>
      <c r="C20" s="133">
        <v>125000</v>
      </c>
      <c r="L20" s="11"/>
    </row>
    <row r="21" spans="2:17" ht="15.75" customHeight="1" x14ac:dyDescent="0.3">
      <c r="E21" s="172" t="s">
        <v>84</v>
      </c>
      <c r="F21" s="172"/>
      <c r="G21" s="172"/>
      <c r="H21" s="172"/>
      <c r="I21" s="69"/>
      <c r="L21" s="11"/>
    </row>
    <row r="22" spans="2:17" ht="15" customHeight="1" x14ac:dyDescent="0.3">
      <c r="B22" s="103" t="s">
        <v>70</v>
      </c>
      <c r="C22" s="134">
        <v>0.25</v>
      </c>
      <c r="I22" s="12">
        <f>C44/100</f>
        <v>0.8</v>
      </c>
      <c r="J22" s="12"/>
      <c r="L22" s="13"/>
    </row>
    <row r="23" spans="2:17" ht="15.75" customHeight="1" x14ac:dyDescent="0.3">
      <c r="L23" s="13"/>
    </row>
    <row r="24" spans="2:17" x14ac:dyDescent="0.3">
      <c r="B24" s="103" t="s">
        <v>65</v>
      </c>
      <c r="C24" s="134">
        <v>0.05</v>
      </c>
      <c r="E24" s="155" t="s">
        <v>86</v>
      </c>
      <c r="F24" s="156"/>
      <c r="G24" s="156"/>
      <c r="H24" s="156"/>
      <c r="I24" s="157"/>
      <c r="L24" s="11"/>
    </row>
    <row r="25" spans="2:17" ht="15" customHeight="1" x14ac:dyDescent="0.3">
      <c r="E25" s="15"/>
      <c r="F25" s="146" t="s">
        <v>12</v>
      </c>
      <c r="G25" s="146" t="s">
        <v>7</v>
      </c>
      <c r="H25" s="146" t="s">
        <v>8</v>
      </c>
      <c r="I25" s="145" t="s">
        <v>9</v>
      </c>
      <c r="L25" s="11"/>
    </row>
    <row r="26" spans="2:17" ht="15" customHeight="1" x14ac:dyDescent="0.3">
      <c r="E26" s="58" t="s">
        <v>14</v>
      </c>
      <c r="F26" s="125">
        <f>'P&amp;L Impact'!E22</f>
        <v>213793.33333333334</v>
      </c>
      <c r="G26" s="125">
        <f>'P&amp;L Impact'!G22</f>
        <v>419059.00000000006</v>
      </c>
      <c r="H26" s="125">
        <f>'P&amp;L Impact'!I22</f>
        <v>725531.66666666663</v>
      </c>
      <c r="I26" s="126">
        <f>'P&amp;L Impact'!K22</f>
        <v>1134637.1666666663</v>
      </c>
      <c r="J26" s="12"/>
      <c r="L26" s="13"/>
    </row>
    <row r="27" spans="2:17" ht="16.5" customHeight="1" x14ac:dyDescent="0.3">
      <c r="E27" s="58" t="s">
        <v>43</v>
      </c>
      <c r="F27" s="125">
        <f>F26/(SUM(F9:F12))</f>
        <v>213793.33333333334</v>
      </c>
      <c r="G27" s="125">
        <f>G26/(SUM(G9:G12))</f>
        <v>279372.66666666669</v>
      </c>
      <c r="H27" s="125">
        <f>H26/(SUM(H9:H12))</f>
        <v>483687.77777777775</v>
      </c>
      <c r="I27" s="126">
        <f>I26/(SUM(I9:I12))</f>
        <v>756424.77777777752</v>
      </c>
      <c r="J27" s="14"/>
      <c r="L27" s="13"/>
    </row>
    <row r="28" spans="2:17" ht="16.5" customHeight="1" x14ac:dyDescent="0.3">
      <c r="E28" s="58" t="s">
        <v>75</v>
      </c>
      <c r="F28" s="125">
        <f>'P&amp;L Impact'!E25</f>
        <v>29426.666666666686</v>
      </c>
      <c r="G28" s="125">
        <f>'P&amp;L Impact'!G25</f>
        <v>62229.000000000058</v>
      </c>
      <c r="H28" s="125">
        <f>'P&amp;L Impact'!I25</f>
        <v>210481.66666666669</v>
      </c>
      <c r="I28" s="126">
        <f>'P&amp;L Impact'!K25</f>
        <v>398052.16666666651</v>
      </c>
    </row>
    <row r="29" spans="2:17" ht="16.5" customHeight="1" x14ac:dyDescent="0.3">
      <c r="E29" s="59" t="s">
        <v>76</v>
      </c>
      <c r="F29" s="127">
        <f>F28/F26</f>
        <v>0.13764071221428803</v>
      </c>
      <c r="G29" s="127">
        <f>G28/G26</f>
        <v>0.1484969896840303</v>
      </c>
      <c r="H29" s="127">
        <f>H28/H26</f>
        <v>0.29010679524670419</v>
      </c>
      <c r="I29" s="128">
        <f>I28/I26</f>
        <v>0.3508189034879432</v>
      </c>
    </row>
    <row r="30" spans="2:17" ht="16.5" customHeight="1" x14ac:dyDescent="0.3">
      <c r="J30" s="8"/>
      <c r="P30" s="18"/>
      <c r="Q30" s="31"/>
    </row>
    <row r="31" spans="2:17" ht="16.5" customHeight="1" x14ac:dyDescent="0.3">
      <c r="G31" s="155" t="s">
        <v>74</v>
      </c>
      <c r="H31" s="156"/>
      <c r="I31" s="157"/>
      <c r="P31" s="18"/>
      <c r="Q31" s="116"/>
    </row>
    <row r="32" spans="2:17" ht="16.5" customHeight="1" x14ac:dyDescent="0.3">
      <c r="G32" s="167">
        <f>'Cash Flow Impact'!R29</f>
        <v>4441.1111111111113</v>
      </c>
      <c r="H32" s="168"/>
      <c r="I32" s="169"/>
      <c r="P32" s="22"/>
    </row>
    <row r="33" spans="2:17" ht="16.5" customHeight="1" x14ac:dyDescent="0.3">
      <c r="P33" s="64"/>
    </row>
    <row r="34" spans="2:17" s="28" customFormat="1" ht="16.5" customHeight="1" x14ac:dyDescent="0.3">
      <c r="E34" s="147"/>
      <c r="F34" s="148"/>
      <c r="I34" s="97"/>
      <c r="P34" s="149"/>
    </row>
    <row r="35" spans="2:17" s="28" customFormat="1" ht="16.5" customHeight="1" x14ac:dyDescent="0.3">
      <c r="C35" s="147"/>
      <c r="D35" s="147"/>
      <c r="E35" s="147"/>
      <c r="P35" s="150"/>
    </row>
    <row r="36" spans="2:17" s="28" customFormat="1" x14ac:dyDescent="0.3">
      <c r="B36" s="147"/>
      <c r="C36" s="147"/>
      <c r="D36" s="147"/>
      <c r="M36" s="151"/>
      <c r="Q36" s="152"/>
    </row>
    <row r="37" spans="2:17" s="28" customFormat="1" x14ac:dyDescent="0.3">
      <c r="B37" s="147"/>
      <c r="C37" s="147"/>
      <c r="D37" s="147"/>
      <c r="E37" s="147"/>
      <c r="J37" s="153"/>
      <c r="N37" s="151"/>
    </row>
    <row r="38" spans="2:17" x14ac:dyDescent="0.3">
      <c r="D38" s="57"/>
      <c r="J38" s="16"/>
      <c r="N38" s="30"/>
    </row>
    <row r="39" spans="2:17" x14ac:dyDescent="0.3">
      <c r="D39" s="57"/>
      <c r="J39" s="16"/>
      <c r="N39" s="30"/>
    </row>
    <row r="40" spans="2:17" x14ac:dyDescent="0.3">
      <c r="D40" s="57"/>
      <c r="J40" s="16"/>
      <c r="N40" s="30"/>
    </row>
    <row r="41" spans="2:17" x14ac:dyDescent="0.3">
      <c r="B41" s="56"/>
      <c r="C41" s="94"/>
      <c r="D41" s="3"/>
    </row>
    <row r="42" spans="2:17" ht="15" hidden="1" customHeight="1" x14ac:dyDescent="0.3">
      <c r="B42" s="3" t="s">
        <v>17</v>
      </c>
      <c r="C42" s="3"/>
      <c r="D42" s="85"/>
    </row>
    <row r="43" spans="2:17" ht="15" hidden="1" customHeight="1" x14ac:dyDescent="0.3">
      <c r="B43" s="85" t="s">
        <v>62</v>
      </c>
      <c r="C43" s="17">
        <v>80</v>
      </c>
      <c r="D43" s="85"/>
    </row>
    <row r="44" spans="2:17" ht="15" hidden="1" customHeight="1" x14ac:dyDescent="0.3">
      <c r="B44" s="85" t="s">
        <v>63</v>
      </c>
      <c r="C44" s="17">
        <v>80</v>
      </c>
      <c r="D44" s="85"/>
    </row>
    <row r="45" spans="2:17" ht="15" customHeight="1" x14ac:dyDescent="0.3">
      <c r="B45" s="30"/>
      <c r="C45" s="85"/>
      <c r="D45" s="85"/>
    </row>
    <row r="46" spans="2:17" ht="15" customHeight="1" x14ac:dyDescent="0.3">
      <c r="B46" s="30"/>
      <c r="C46" s="85"/>
      <c r="D46" s="85"/>
    </row>
    <row r="47" spans="2:17" ht="15" customHeight="1" x14ac:dyDescent="0.3">
      <c r="B47" s="30"/>
      <c r="C47" s="85"/>
      <c r="D47" s="85"/>
    </row>
    <row r="48" spans="2:17" ht="15" customHeight="1" x14ac:dyDescent="0.3">
      <c r="B48" s="30"/>
      <c r="C48" s="85"/>
      <c r="D48" s="85"/>
    </row>
    <row r="49" spans="2:19" ht="15" customHeight="1" x14ac:dyDescent="0.3">
      <c r="B49" s="30"/>
      <c r="C49" s="85"/>
      <c r="D49" s="85"/>
    </row>
    <row r="50" spans="2:19" ht="15" customHeight="1" x14ac:dyDescent="0.3">
      <c r="B50" s="85"/>
      <c r="C50" s="85"/>
      <c r="D50" s="85"/>
    </row>
    <row r="51" spans="2:19" ht="15" customHeight="1" x14ac:dyDescent="0.3">
      <c r="B51" s="85"/>
      <c r="C51" s="85"/>
      <c r="D51" s="85"/>
    </row>
    <row r="52" spans="2:19" x14ac:dyDescent="0.3">
      <c r="J52" s="18"/>
      <c r="K52" s="21"/>
      <c r="L52" s="158" t="s">
        <v>28</v>
      </c>
      <c r="M52" s="158"/>
      <c r="N52" s="158"/>
      <c r="O52" s="158"/>
    </row>
    <row r="53" spans="2:19" x14ac:dyDescent="0.3">
      <c r="N53" s="1" t="s">
        <v>10</v>
      </c>
    </row>
    <row r="54" spans="2:19" x14ac:dyDescent="0.3">
      <c r="J54" s="18"/>
      <c r="L54" s="1">
        <v>1</v>
      </c>
      <c r="M54" s="1">
        <v>2</v>
      </c>
      <c r="N54" s="1">
        <v>3</v>
      </c>
      <c r="O54" s="1">
        <v>4</v>
      </c>
    </row>
    <row r="55" spans="2:19" x14ac:dyDescent="0.3">
      <c r="J55" s="18"/>
      <c r="K55" s="21" t="s">
        <v>55</v>
      </c>
      <c r="L55" s="20">
        <f>'Core Calculations'!B33</f>
        <v>99999.999999999985</v>
      </c>
      <c r="M55" s="20">
        <f>'Core Calculations'!C33</f>
        <v>99999.999999999985</v>
      </c>
      <c r="N55" s="20">
        <f>'Core Calculations'!D33</f>
        <v>150000</v>
      </c>
      <c r="O55" s="20">
        <f>'Core Calculations'!E33</f>
        <v>199999.99999999997</v>
      </c>
      <c r="P55" s="18"/>
      <c r="Q55" s="20"/>
      <c r="S55" s="20"/>
    </row>
    <row r="56" spans="2:19" x14ac:dyDescent="0.3">
      <c r="J56" s="18"/>
      <c r="K56" s="21" t="s">
        <v>56</v>
      </c>
      <c r="L56" s="20">
        <f>'Core Calculations'!B34</f>
        <v>10833.333333333332</v>
      </c>
      <c r="M56" s="20">
        <f>'Core Calculations'!C34</f>
        <v>30375.000000000007</v>
      </c>
      <c r="N56" s="20">
        <f>'Core Calculations'!D34</f>
        <v>54791.66666666665</v>
      </c>
      <c r="O56" s="20">
        <f>'Core Calculations'!E34</f>
        <v>88979.166666666613</v>
      </c>
      <c r="P56" s="18">
        <f>SUM(L55:O57)</f>
        <v>2333199.1666666665</v>
      </c>
      <c r="Q56" s="49"/>
      <c r="S56" s="49"/>
    </row>
    <row r="57" spans="2:19" x14ac:dyDescent="0.3">
      <c r="J57" s="18"/>
      <c r="K57" s="21" t="s">
        <v>81</v>
      </c>
      <c r="L57" s="20">
        <f>'Core Calculations'!B35</f>
        <v>93600</v>
      </c>
      <c r="M57" s="20">
        <f>'Core Calculations'!C35</f>
        <v>262440.00000000006</v>
      </c>
      <c r="N57" s="20">
        <f>'Core Calculations'!D35</f>
        <v>473399.99999999994</v>
      </c>
      <c r="O57" s="20">
        <f>'Core Calculations'!E35</f>
        <v>768779.99999999977</v>
      </c>
      <c r="P57" s="18"/>
      <c r="Q57" s="49"/>
      <c r="S57" s="49"/>
    </row>
    <row r="58" spans="2:19" x14ac:dyDescent="0.3">
      <c r="J58" s="18"/>
      <c r="K58" s="117" t="s">
        <v>80</v>
      </c>
      <c r="L58" s="20">
        <f>'Core Calculations'!B36</f>
        <v>9360</v>
      </c>
      <c r="M58" s="20">
        <f>'Core Calculations'!C36</f>
        <v>26244.000000000007</v>
      </c>
      <c r="N58" s="20">
        <f>'Core Calculations'!D36</f>
        <v>47339.999999999993</v>
      </c>
      <c r="O58" s="20">
        <f>'Core Calculations'!E36</f>
        <v>76877.999999999956</v>
      </c>
    </row>
    <row r="59" spans="2:19" x14ac:dyDescent="0.3">
      <c r="J59" s="22"/>
      <c r="K59" s="23"/>
      <c r="L59" s="18"/>
      <c r="M59" s="18"/>
      <c r="N59" s="18"/>
      <c r="O59" s="18"/>
    </row>
    <row r="60" spans="2:19" x14ac:dyDescent="0.3">
      <c r="J60" s="22"/>
      <c r="L60" s="1">
        <v>1</v>
      </c>
      <c r="M60" s="1">
        <v>2</v>
      </c>
      <c r="N60" s="1">
        <v>3</v>
      </c>
      <c r="O60" s="1">
        <v>4</v>
      </c>
    </row>
    <row r="61" spans="2:19" x14ac:dyDescent="0.3">
      <c r="K61" s="23" t="s">
        <v>78</v>
      </c>
      <c r="L61" s="86">
        <f>'Core Calculations'!M7</f>
        <v>120</v>
      </c>
      <c r="M61" s="86">
        <f>'Core Calculations'!Y7</f>
        <v>234.49999999999997</v>
      </c>
      <c r="N61" s="86">
        <f>'Core Calculations'!AK7</f>
        <v>408.49999999999989</v>
      </c>
      <c r="O61" s="86">
        <f>'Core Calculations'!AW7</f>
        <v>639.74999999999955</v>
      </c>
    </row>
    <row r="62" spans="2:19" x14ac:dyDescent="0.3">
      <c r="K62" s="23" t="s">
        <v>79</v>
      </c>
      <c r="L62" s="86">
        <f>'Core Calculations'!M10</f>
        <v>96</v>
      </c>
      <c r="M62" s="86">
        <f>'Core Calculations'!Y10</f>
        <v>187.59999999999997</v>
      </c>
      <c r="N62" s="86">
        <f>'Core Calculations'!AK10</f>
        <v>326.79999999999995</v>
      </c>
      <c r="O62" s="86">
        <f>'Core Calculations'!AW10</f>
        <v>511.79999999999961</v>
      </c>
    </row>
  </sheetData>
  <sheetProtection algorithmName="SHA-512" hashValue="rNMCYWWuQFGzwTh2rTN2I/0I/w5/w8Ex/28ROvgHjodzlxwDf+fP+4ZGjHfBfxJwarw3WVghkkpx5CwWuYiv5w==" saltValue="bNyjiSoWbx8ptFPWE+tw6w==" spinCount="100000" sheet="1" objects="1" scenarios="1"/>
  <mergeCells count="15">
    <mergeCell ref="B2:I2"/>
    <mergeCell ref="E24:I24"/>
    <mergeCell ref="G31:I31"/>
    <mergeCell ref="L52:O52"/>
    <mergeCell ref="B16:C16"/>
    <mergeCell ref="B4:C6"/>
    <mergeCell ref="E4:E6"/>
    <mergeCell ref="F4:F5"/>
    <mergeCell ref="G4:G5"/>
    <mergeCell ref="H4:H5"/>
    <mergeCell ref="G32:I32"/>
    <mergeCell ref="I4:I5"/>
    <mergeCell ref="B10:C10"/>
    <mergeCell ref="E18:H18"/>
    <mergeCell ref="E21:H21"/>
  </mergeCells>
  <phoneticPr fontId="13" type="noConversion"/>
  <pageMargins left="0.7" right="0.7" top="0.75" bottom="0.75" header="0.3" footer="0.3"/>
  <pageSetup orientation="portrait" r:id="rId1"/>
  <ignoredErrors>
    <ignoredError sqref="D14:D15 C14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" r:id="rId4" name="Scroll Bar 205">
              <controlPr locked="0" defaultSize="0" autoPict="0">
                <anchor moveWithCells="1">
                  <from>
                    <xdr:col>4</xdr:col>
                    <xdr:colOff>9525</xdr:colOff>
                    <xdr:row>18</xdr:row>
                    <xdr:rowOff>0</xdr:rowOff>
                  </from>
                  <to>
                    <xdr:col>8</xdr:col>
                    <xdr:colOff>9525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5" name="Scroll Bar 221">
              <controlPr locked="0" defaultSize="0" autoPict="0">
                <anchor moveWithCells="1">
                  <from>
                    <xdr:col>4</xdr:col>
                    <xdr:colOff>9525</xdr:colOff>
                    <xdr:row>21</xdr:row>
                    <xdr:rowOff>0</xdr:rowOff>
                  </from>
                  <to>
                    <xdr:col>8</xdr:col>
                    <xdr:colOff>9525</xdr:colOff>
                    <xdr:row>22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1">
    <pageSetUpPr fitToPage="1"/>
  </sheetPr>
  <dimension ref="B1:M33"/>
  <sheetViews>
    <sheetView showGridLines="0" tabSelected="1" zoomScaleNormal="100" workbookViewId="0">
      <selection activeCell="F33" sqref="F33"/>
    </sheetView>
  </sheetViews>
  <sheetFormatPr defaultColWidth="9.140625" defaultRowHeight="16.5" x14ac:dyDescent="0.3"/>
  <cols>
    <col min="1" max="1" width="21.42578125" style="1" customWidth="1"/>
    <col min="2" max="2" width="9.5703125" style="1" customWidth="1"/>
    <col min="3" max="3" width="5" style="1" customWidth="1"/>
    <col min="4" max="4" width="38.28515625" style="1" customWidth="1"/>
    <col min="5" max="5" width="16.7109375" style="1" customWidth="1"/>
    <col min="6" max="6" width="9.140625" style="1"/>
    <col min="7" max="7" width="16.7109375" style="1" customWidth="1"/>
    <col min="8" max="8" width="9.85546875" style="1" bestFit="1" customWidth="1"/>
    <col min="9" max="9" width="16.7109375" style="1" customWidth="1"/>
    <col min="10" max="10" width="11.28515625" style="1" bestFit="1" customWidth="1"/>
    <col min="11" max="11" width="16.7109375" style="1" customWidth="1"/>
    <col min="12" max="12" width="11" style="1" customWidth="1"/>
    <col min="13" max="13" width="5.42578125" style="1" customWidth="1"/>
    <col min="14" max="16384" width="9.140625" style="1"/>
  </cols>
  <sheetData>
    <row r="1" spans="2:12" ht="27.6" customHeight="1" x14ac:dyDescent="0.3"/>
    <row r="2" spans="2:12" ht="26.45" customHeight="1" x14ac:dyDescent="0.3">
      <c r="B2" s="154" t="s">
        <v>87</v>
      </c>
      <c r="C2" s="154"/>
      <c r="D2" s="154"/>
    </row>
    <row r="3" spans="2:12" ht="18" customHeight="1" x14ac:dyDescent="0.3">
      <c r="B3" s="154"/>
      <c r="C3" s="154"/>
      <c r="D3" s="154"/>
      <c r="E3" s="175" t="s">
        <v>5</v>
      </c>
      <c r="F3" s="175"/>
      <c r="G3" s="175" t="s">
        <v>2</v>
      </c>
      <c r="H3" s="175"/>
      <c r="I3" s="175" t="s">
        <v>3</v>
      </c>
      <c r="J3" s="175"/>
      <c r="K3" s="175" t="s">
        <v>4</v>
      </c>
      <c r="L3" s="175"/>
    </row>
    <row r="4" spans="2:12" ht="33" x14ac:dyDescent="0.3">
      <c r="E4" s="24"/>
      <c r="F4" s="25" t="s">
        <v>6</v>
      </c>
      <c r="G4" s="24"/>
      <c r="H4" s="25" t="s">
        <v>6</v>
      </c>
      <c r="I4" s="24"/>
      <c r="J4" s="25" t="s">
        <v>6</v>
      </c>
      <c r="K4" s="24"/>
      <c r="L4" s="25" t="s">
        <v>6</v>
      </c>
    </row>
    <row r="5" spans="2:12" ht="16.5" customHeight="1" x14ac:dyDescent="0.3">
      <c r="B5" s="173" t="s">
        <v>14</v>
      </c>
      <c r="C5" s="1" t="s">
        <v>21</v>
      </c>
      <c r="E5" s="26"/>
      <c r="F5" s="14"/>
      <c r="G5" s="26"/>
      <c r="H5" s="14"/>
      <c r="I5" s="26"/>
      <c r="J5" s="14"/>
      <c r="K5" s="26"/>
      <c r="L5" s="14"/>
    </row>
    <row r="6" spans="2:12" ht="16.5" customHeight="1" x14ac:dyDescent="0.3">
      <c r="B6" s="173"/>
      <c r="D6" s="1" t="str">
        <f>'Key Business Variables'!B13</f>
        <v>Power App Subscription Fees</v>
      </c>
      <c r="E6" s="26">
        <f>'Core Calculations'!B35</f>
        <v>93600</v>
      </c>
      <c r="F6" s="22">
        <f>E6/E$22</f>
        <v>0.43780598085378403</v>
      </c>
      <c r="G6" s="26">
        <f>'Core Calculations'!C35</f>
        <v>262440.00000000006</v>
      </c>
      <c r="H6" s="22">
        <f>G6/G$22</f>
        <v>0.6262602640678282</v>
      </c>
      <c r="I6" s="26">
        <f>'Core Calculations'!D35</f>
        <v>473399.99999999994</v>
      </c>
      <c r="J6" s="22">
        <f>I6/I$22</f>
        <v>0.65248702675509218</v>
      </c>
      <c r="K6" s="26">
        <f>'Core Calculations'!E35</f>
        <v>768779.99999999977</v>
      </c>
      <c r="L6" s="22">
        <f>K6/K$22</f>
        <v>0.67755580601904608</v>
      </c>
    </row>
    <row r="7" spans="2:12" s="28" customFormat="1" x14ac:dyDescent="0.3">
      <c r="B7" s="173"/>
      <c r="D7" s="1" t="str">
        <f>'Key Business Variables'!B14</f>
        <v>Partner IP Subscription Fees</v>
      </c>
      <c r="E7" s="26">
        <f>'Core Calculations'!B36</f>
        <v>9360</v>
      </c>
      <c r="F7" s="22">
        <f t="shared" ref="F7:H15" si="0">E7/E$22</f>
        <v>4.3780598085378403E-2</v>
      </c>
      <c r="G7" s="26">
        <f>'Core Calculations'!C36</f>
        <v>26244.000000000007</v>
      </c>
      <c r="H7" s="22">
        <f t="shared" si="0"/>
        <v>6.2626026406782831E-2</v>
      </c>
      <c r="I7" s="26">
        <f>'Core Calculations'!D36</f>
        <v>47339.999999999993</v>
      </c>
      <c r="J7" s="22">
        <f t="shared" ref="J7" si="1">I7/I$22</f>
        <v>6.5248702675509224E-2</v>
      </c>
      <c r="K7" s="26">
        <f>'Core Calculations'!E36</f>
        <v>76877.999999999956</v>
      </c>
      <c r="L7" s="22">
        <f t="shared" ref="L7" si="2">K7/K$22</f>
        <v>6.7755580601904591E-2</v>
      </c>
    </row>
    <row r="8" spans="2:12" x14ac:dyDescent="0.3">
      <c r="B8" s="173"/>
      <c r="C8" s="1" t="s">
        <v>22</v>
      </c>
      <c r="D8" s="29"/>
      <c r="E8" s="61"/>
      <c r="F8" s="22"/>
      <c r="G8" s="27"/>
      <c r="H8" s="22"/>
      <c r="I8" s="61"/>
      <c r="J8" s="22"/>
      <c r="K8" s="61"/>
      <c r="L8" s="22"/>
    </row>
    <row r="9" spans="2:12" x14ac:dyDescent="0.3">
      <c r="B9" s="173"/>
      <c r="D9" s="29" t="str">
        <f>'Key Business Variables'!B11</f>
        <v>Initial Project Fees</v>
      </c>
      <c r="E9" s="26">
        <f>'Core Calculations'!B33</f>
        <v>99999.999999999985</v>
      </c>
      <c r="F9" s="22">
        <f t="shared" si="0"/>
        <v>0.46774143253609396</v>
      </c>
      <c r="G9" s="26">
        <f>'Core Calculations'!C33</f>
        <v>99999.999999999985</v>
      </c>
      <c r="H9" s="22">
        <f t="shared" si="0"/>
        <v>0.23862988266568663</v>
      </c>
      <c r="I9" s="26">
        <f>'Core Calculations'!D33</f>
        <v>150000</v>
      </c>
      <c r="J9" s="22">
        <f t="shared" ref="J9" si="3">I9/I$22</f>
        <v>0.20674493876904065</v>
      </c>
      <c r="K9" s="26">
        <f>'Core Calculations'!E33</f>
        <v>199999.99999999997</v>
      </c>
      <c r="L9" s="22">
        <f t="shared" ref="L9" si="4">K9/K$22</f>
        <v>0.17626780249721538</v>
      </c>
    </row>
    <row r="10" spans="2:12" x14ac:dyDescent="0.3">
      <c r="B10" s="173"/>
      <c r="D10" s="29" t="str">
        <f>'Key Business Variables'!B12</f>
        <v>Ongoing Support Fees</v>
      </c>
      <c r="E10" s="26">
        <f>'Core Calculations'!B34</f>
        <v>10833.333333333332</v>
      </c>
      <c r="F10" s="22">
        <f t="shared" si="0"/>
        <v>5.0671988524743514E-2</v>
      </c>
      <c r="G10" s="26">
        <f>'Core Calculations'!C34</f>
        <v>30375.000000000007</v>
      </c>
      <c r="H10" s="22">
        <f t="shared" si="0"/>
        <v>7.2483826859702338E-2</v>
      </c>
      <c r="I10" s="26">
        <f>'Core Calculations'!D34</f>
        <v>54791.66666666665</v>
      </c>
      <c r="J10" s="22">
        <f t="shared" ref="J10" si="5">I10/I$22</f>
        <v>7.5519331800357872E-2</v>
      </c>
      <c r="K10" s="26">
        <f>'Core Calculations'!E34</f>
        <v>88979.166666666613</v>
      </c>
      <c r="L10" s="22">
        <f t="shared" ref="L10" si="6">K10/K$22</f>
        <v>7.8420810881834016E-2</v>
      </c>
    </row>
    <row r="11" spans="2:12" ht="9" customHeight="1" x14ac:dyDescent="0.3">
      <c r="E11" s="61"/>
      <c r="F11" s="22"/>
      <c r="G11" s="61"/>
      <c r="H11" s="22"/>
      <c r="I11" s="61"/>
      <c r="J11" s="22"/>
      <c r="K11" s="61"/>
      <c r="L11" s="22"/>
    </row>
    <row r="12" spans="2:12" ht="16.5" customHeight="1" x14ac:dyDescent="0.3">
      <c r="B12" s="173" t="s">
        <v>15</v>
      </c>
      <c r="C12" s="1" t="s">
        <v>21</v>
      </c>
      <c r="E12" s="62"/>
      <c r="F12" s="22"/>
      <c r="G12" s="62"/>
      <c r="H12" s="22"/>
      <c r="I12" s="62"/>
      <c r="J12" s="22"/>
      <c r="K12" s="62"/>
      <c r="L12" s="22"/>
    </row>
    <row r="13" spans="2:12" x14ac:dyDescent="0.3">
      <c r="B13" s="173"/>
      <c r="D13" s="1" t="str">
        <f>'Key Business Variables'!B13</f>
        <v>Power App Subscription Fees</v>
      </c>
      <c r="E13" s="26">
        <f>'Core Calculations'!B39</f>
        <v>70200</v>
      </c>
      <c r="F13" s="22">
        <f t="shared" si="0"/>
        <v>0.32835448564033798</v>
      </c>
      <c r="G13" s="26">
        <f>'Core Calculations'!C39</f>
        <v>196830.00000000003</v>
      </c>
      <c r="H13" s="22">
        <f t="shared" si="0"/>
        <v>0.46969519805087112</v>
      </c>
      <c r="I13" s="26">
        <f>'Core Calculations'!D39</f>
        <v>355049.99999999994</v>
      </c>
      <c r="J13" s="22">
        <f t="shared" ref="J13" si="7">I13/I$22</f>
        <v>0.48936527006631914</v>
      </c>
      <c r="K13" s="26">
        <f>'Core Calculations'!E39</f>
        <v>576584.99999999977</v>
      </c>
      <c r="L13" s="22">
        <f t="shared" ref="L13" si="8">K13/K$22</f>
        <v>0.50816685451428445</v>
      </c>
    </row>
    <row r="14" spans="2:12" x14ac:dyDescent="0.3">
      <c r="B14" s="173"/>
      <c r="C14" s="1" t="s">
        <v>22</v>
      </c>
      <c r="E14" s="22"/>
      <c r="F14" s="22"/>
      <c r="G14" s="22"/>
      <c r="H14" s="22"/>
      <c r="I14" s="22"/>
      <c r="J14" s="22"/>
      <c r="K14" s="22"/>
      <c r="L14" s="22"/>
    </row>
    <row r="15" spans="2:12" x14ac:dyDescent="0.3">
      <c r="B15" s="173"/>
      <c r="D15" s="29" t="s">
        <v>72</v>
      </c>
      <c r="E15" s="26">
        <f>SUM('Core Calculations'!B40:B43)</f>
        <v>114166.66666666666</v>
      </c>
      <c r="F15" s="22">
        <f t="shared" si="0"/>
        <v>0.53400480214537394</v>
      </c>
      <c r="G15" s="26">
        <f>SUM('Core Calculations'!C40:C43)</f>
        <v>160000</v>
      </c>
      <c r="H15" s="22">
        <f t="shared" si="0"/>
        <v>0.38180781226509863</v>
      </c>
      <c r="I15" s="26">
        <f>SUM('Core Calculations'!D40:D43)</f>
        <v>160000</v>
      </c>
      <c r="J15" s="22">
        <f t="shared" ref="J15" si="9">I15/I$22</f>
        <v>0.22052793468697668</v>
      </c>
      <c r="K15" s="26">
        <f>SUM('Core Calculations'!E40:E43)</f>
        <v>160000</v>
      </c>
      <c r="L15" s="22">
        <f t="shared" ref="L15" si="10">K15/K$22</f>
        <v>0.14101424199777232</v>
      </c>
    </row>
    <row r="16" spans="2:12" x14ac:dyDescent="0.3">
      <c r="B16" s="88"/>
      <c r="D16" s="23" t="s">
        <v>73</v>
      </c>
      <c r="E16" s="63">
        <f>1-(SUM(E13:E15)/SUM(E6:E10))</f>
        <v>0.13764071221428797</v>
      </c>
      <c r="F16" s="27"/>
      <c r="G16" s="63">
        <f>1-(SUM(G13:G15)/SUM(G6:G10))</f>
        <v>0.14849698968403025</v>
      </c>
      <c r="H16" s="27"/>
      <c r="I16" s="63">
        <f>1-(SUM(I13:I15)/SUM(I6:I10))</f>
        <v>0.29010679524670413</v>
      </c>
      <c r="J16" s="27"/>
      <c r="K16" s="63">
        <f>1-(SUM(K13:K15)/SUM(K6:K10))</f>
        <v>0.3508189034879432</v>
      </c>
      <c r="L16" s="27"/>
    </row>
    <row r="17" spans="2:13" x14ac:dyDescent="0.3">
      <c r="B17" s="89"/>
      <c r="D17" s="23" t="s">
        <v>44</v>
      </c>
      <c r="E17" s="63">
        <f>(E7+E10+E6)/E22</f>
        <v>0.53225856746390587</v>
      </c>
      <c r="F17" s="27"/>
      <c r="G17" s="63">
        <f>(G7+G10+G6)/G22</f>
        <v>0.76137011733431337</v>
      </c>
      <c r="H17" s="27"/>
      <c r="I17" s="63">
        <f>(I7+I10+I6)/I22</f>
        <v>0.79325506123095935</v>
      </c>
      <c r="J17" s="27"/>
      <c r="K17" s="63">
        <f>(K7+K10+K6)/K22</f>
        <v>0.82373219750278459</v>
      </c>
      <c r="L17" s="27"/>
    </row>
    <row r="18" spans="2:13" ht="7.5" customHeight="1" x14ac:dyDescent="0.3">
      <c r="E18" s="62"/>
      <c r="F18" s="27"/>
      <c r="G18" s="62"/>
      <c r="H18" s="27"/>
      <c r="I18" s="62"/>
      <c r="J18" s="27"/>
      <c r="K18" s="62"/>
      <c r="L18" s="27"/>
    </row>
    <row r="19" spans="2:13" ht="16.5" customHeight="1" x14ac:dyDescent="0.3">
      <c r="B19" s="174" t="s">
        <v>16</v>
      </c>
      <c r="D19" s="14" t="str">
        <f>'Key Business Variables'!E15</f>
        <v>Sales &amp; Marketing</v>
      </c>
      <c r="E19" s="76">
        <f>'Core Calculations'!B44</f>
        <v>0</v>
      </c>
      <c r="F19" s="22">
        <f t="shared" ref="F19:H19" si="11">E19/E$22</f>
        <v>0</v>
      </c>
      <c r="G19" s="76">
        <f>'Core Calculations'!C44</f>
        <v>0</v>
      </c>
      <c r="H19" s="22">
        <f t="shared" si="11"/>
        <v>0</v>
      </c>
      <c r="I19" s="76">
        <f>'Core Calculations'!D44</f>
        <v>0</v>
      </c>
      <c r="J19" s="22">
        <f t="shared" ref="J19" si="12">I19/I$22</f>
        <v>0</v>
      </c>
      <c r="K19" s="76">
        <f>'Core Calculations'!E44</f>
        <v>0</v>
      </c>
      <c r="L19" s="22">
        <f t="shared" ref="L19" si="13">K19/K$22</f>
        <v>0</v>
      </c>
    </row>
    <row r="20" spans="2:13" ht="16.5" customHeight="1" x14ac:dyDescent="0.3">
      <c r="B20" s="174"/>
      <c r="D20" s="14" t="str">
        <f>'Key Business Variables'!E16</f>
        <v>Incremental R&amp;D, G&amp;A, Other</v>
      </c>
      <c r="E20" s="76">
        <f>'Core Calculations'!B45</f>
        <v>0</v>
      </c>
      <c r="F20" s="22">
        <f>E20/E$22</f>
        <v>0</v>
      </c>
      <c r="G20" s="76">
        <f>'Core Calculations'!C45</f>
        <v>0</v>
      </c>
      <c r="H20" s="22">
        <f>G20/G$22</f>
        <v>0</v>
      </c>
      <c r="I20" s="76">
        <f>'Core Calculations'!D45</f>
        <v>0</v>
      </c>
      <c r="J20" s="22">
        <f>I20/I$22</f>
        <v>0</v>
      </c>
      <c r="K20" s="76">
        <f>'Core Calculations'!E45</f>
        <v>0</v>
      </c>
      <c r="L20" s="22">
        <f>K20/K$22</f>
        <v>0</v>
      </c>
    </row>
    <row r="21" spans="2:13" ht="7.5" customHeight="1" x14ac:dyDescent="0.3">
      <c r="E21" s="18"/>
      <c r="F21" s="31"/>
      <c r="G21" s="18"/>
      <c r="H21" s="31"/>
      <c r="I21" s="18"/>
      <c r="J21" s="31"/>
      <c r="K21" s="18"/>
      <c r="L21" s="31"/>
    </row>
    <row r="22" spans="2:13" x14ac:dyDescent="0.3">
      <c r="C22" s="1" t="s">
        <v>0</v>
      </c>
      <c r="E22" s="18">
        <f>SUM(E6:E10)</f>
        <v>213793.33333333334</v>
      </c>
      <c r="G22" s="18">
        <f>SUM(G6:G10)</f>
        <v>419059.00000000006</v>
      </c>
      <c r="I22" s="18">
        <f>SUM(I6:I10)</f>
        <v>725531.66666666663</v>
      </c>
      <c r="K22" s="18">
        <f>SUM(K6:K10)</f>
        <v>1134637.1666666663</v>
      </c>
      <c r="L22" s="19"/>
      <c r="M22" s="19"/>
    </row>
    <row r="23" spans="2:13" x14ac:dyDescent="0.3">
      <c r="C23" s="1" t="s">
        <v>1</v>
      </c>
      <c r="E23" s="18">
        <f>SUM(E13:E15)+SUM(E19:E20)</f>
        <v>184366.66666666666</v>
      </c>
      <c r="G23" s="18">
        <f>SUM(G13:G15)+SUM(G19:G20)</f>
        <v>356830</v>
      </c>
      <c r="I23" s="18">
        <f>SUM(I13:I15)+SUM(I19:I20)</f>
        <v>515049.99999999994</v>
      </c>
      <c r="K23" s="18">
        <f>SUM(K13:K15)+SUM(K19:K20)</f>
        <v>736584.99999999977</v>
      </c>
      <c r="L23" s="19"/>
      <c r="M23" s="19"/>
    </row>
    <row r="24" spans="2:13" ht="9.75" customHeight="1" x14ac:dyDescent="0.3">
      <c r="E24" s="18"/>
      <c r="G24" s="18"/>
      <c r="I24" s="18"/>
      <c r="K24" s="18"/>
      <c r="L24" s="19"/>
      <c r="M24" s="19"/>
    </row>
    <row r="25" spans="2:13" x14ac:dyDescent="0.3">
      <c r="C25" s="1" t="s">
        <v>41</v>
      </c>
      <c r="E25" s="77">
        <f>E22-E23</f>
        <v>29426.666666666686</v>
      </c>
      <c r="F25" s="32"/>
      <c r="G25" s="77">
        <f>G22-G23</f>
        <v>62229.000000000058</v>
      </c>
      <c r="H25" s="32"/>
      <c r="I25" s="77">
        <f>I22-I23</f>
        <v>210481.66666666669</v>
      </c>
      <c r="J25" s="32"/>
      <c r="K25" s="77">
        <f>K22-K23</f>
        <v>398052.16666666651</v>
      </c>
      <c r="L25" s="18"/>
      <c r="M25" s="19"/>
    </row>
    <row r="26" spans="2:13" ht="9.4" customHeight="1" x14ac:dyDescent="0.3">
      <c r="E26" s="19"/>
      <c r="L26" s="18"/>
      <c r="M26" s="19"/>
    </row>
    <row r="27" spans="2:13" x14ac:dyDescent="0.3">
      <c r="C27" s="1" t="s">
        <v>42</v>
      </c>
      <c r="E27" s="33">
        <f>IFERROR(E25/E22,0)</f>
        <v>0.13764071221428803</v>
      </c>
      <c r="F27" s="34"/>
      <c r="G27" s="33">
        <f>IFERROR(G25/G22,0)</f>
        <v>0.1484969896840303</v>
      </c>
      <c r="H27" s="34"/>
      <c r="I27" s="33">
        <f>IFERROR(I25/I22,0)</f>
        <v>0.29010679524670419</v>
      </c>
      <c r="J27" s="34"/>
      <c r="K27" s="33">
        <f>IFERROR(K25/K22,0)</f>
        <v>0.3508189034879432</v>
      </c>
      <c r="L27" s="22"/>
      <c r="M27" s="19"/>
    </row>
    <row r="28" spans="2:13" x14ac:dyDescent="0.3">
      <c r="E28" s="31"/>
      <c r="G28" s="91"/>
      <c r="H28" s="79"/>
      <c r="I28" s="31"/>
      <c r="K28" s="31"/>
      <c r="L28" s="92"/>
      <c r="M28" s="19"/>
    </row>
    <row r="29" spans="2:13" ht="17.25" hidden="1" x14ac:dyDescent="0.3">
      <c r="D29" s="78" t="s">
        <v>33</v>
      </c>
      <c r="G29" s="80">
        <f>E7</f>
        <v>9360</v>
      </c>
      <c r="H29" s="80" t="e">
        <f>#REF!</f>
        <v>#REF!</v>
      </c>
    </row>
    <row r="30" spans="2:13" ht="17.25" hidden="1" x14ac:dyDescent="0.3">
      <c r="D30" s="78" t="s">
        <v>34</v>
      </c>
      <c r="G30" s="80">
        <f>E9</f>
        <v>99999.999999999985</v>
      </c>
      <c r="H30" s="80" t="e">
        <f>#REF!</f>
        <v>#REF!</v>
      </c>
    </row>
    <row r="31" spans="2:13" ht="17.25" hidden="1" x14ac:dyDescent="0.3">
      <c r="D31" s="78" t="s">
        <v>35</v>
      </c>
      <c r="G31" s="81">
        <f>E10</f>
        <v>10833.333333333332</v>
      </c>
      <c r="H31" s="81" t="e">
        <f>#REF!</f>
        <v>#REF!</v>
      </c>
    </row>
    <row r="32" spans="2:13" hidden="1" x14ac:dyDescent="0.3">
      <c r="G32" s="82">
        <f>SUM(G29:G31)</f>
        <v>120193.33333333331</v>
      </c>
      <c r="H32" s="18" t="e">
        <f>SUM(H29:H31)</f>
        <v>#REF!</v>
      </c>
    </row>
    <row r="33" spans="12:12" x14ac:dyDescent="0.3">
      <c r="L33" s="19"/>
    </row>
  </sheetData>
  <sheetProtection algorithmName="SHA-512" hashValue="dcairB4tAlvvq5kGy+reLXK2XTTytrn2HOlOywF7iD+PXNImhv3EH9ZE+I5Xeg5YY1VBhJkkR/BukZWIu1ptkQ==" saltValue="MRI3d0DyfpsAMimj8anpdw==" spinCount="100000" sheet="1" objects="1" scenarios="1"/>
  <mergeCells count="8">
    <mergeCell ref="B12:B15"/>
    <mergeCell ref="B19:B20"/>
    <mergeCell ref="I3:J3"/>
    <mergeCell ref="K3:L3"/>
    <mergeCell ref="E3:F3"/>
    <mergeCell ref="G3:H3"/>
    <mergeCell ref="B5:B10"/>
    <mergeCell ref="B2:D3"/>
  </mergeCells>
  <pageMargins left="0.7" right="0.7" top="0.75" bottom="0.75" header="0.3" footer="0.3"/>
  <pageSetup scale="48" orientation="landscape" r:id="rId1"/>
  <ignoredErrors>
    <ignoredError sqref="F27 H27 J27 H29 G6:K7 G9:K10 G8:H8 J8 G19:K20 H18 G14:K16 H12 J18 J12 H11 J11 J13 H13 G13 I13 K13 H17 J17" formula="1"/>
    <ignoredError sqref="F25:K25 F26:K26 J22:J23 H22:H23 F22:F23 E24:K24 I8 K8" evalError="1" formula="1"/>
    <ignoredError sqref="E8 E21:K21 E26" evalError="1"/>
    <ignoredError xmlns:x16r3="http://schemas.microsoft.com/office/spreadsheetml/2018/08/main" sqref="E18 G11 I11 K11 G12 G18 I12 I18 K12 K18" evalError="1" formula="1" x16r3:misleadingFormat="1"/>
    <ignoredError xmlns:x16r3="http://schemas.microsoft.com/office/spreadsheetml/2018/08/main" sqref="E12 E11" evalError="1" x16r3:misleadingForma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2:AX52"/>
  <sheetViews>
    <sheetView showGridLines="0" zoomScaleNormal="100" workbookViewId="0">
      <selection activeCell="J39" sqref="J39"/>
    </sheetView>
  </sheetViews>
  <sheetFormatPr defaultColWidth="9.140625" defaultRowHeight="16.5" x14ac:dyDescent="0.3"/>
  <cols>
    <col min="1" max="6" width="9.140625" style="35"/>
    <col min="7" max="7" width="13.140625" style="35" customWidth="1"/>
    <col min="8" max="17" width="9.140625" style="35"/>
    <col min="18" max="18" width="10" style="35" bestFit="1" customWidth="1"/>
    <col min="19" max="16384" width="9.140625" style="35"/>
  </cols>
  <sheetData>
    <row r="2" spans="2:16" x14ac:dyDescent="0.3">
      <c r="B2" s="176" t="s">
        <v>88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</row>
    <row r="29" spans="17:18" x14ac:dyDescent="0.3">
      <c r="Q29" s="83" t="s">
        <v>74</v>
      </c>
      <c r="R29" s="124">
        <f>IF(R37&lt;0,"n/a",R37)</f>
        <v>4441.1111111111113</v>
      </c>
    </row>
    <row r="33" spans="12:18" x14ac:dyDescent="0.3">
      <c r="L33" s="60"/>
    </row>
    <row r="37" spans="12:18" x14ac:dyDescent="0.3">
      <c r="R37" s="84">
        <f>-MIN('Core Calculations'!B29,'P&amp;L Impact'!E25,'P&amp;L Impact'!G25,'P&amp;L Impact'!I25,'P&amp;L Impact'!K25)</f>
        <v>4441.1111111111113</v>
      </c>
    </row>
    <row r="52" spans="2:50" x14ac:dyDescent="0.3">
      <c r="B52" s="37" t="str">
        <f>'Core Calculations'!A28</f>
        <v>Monthly Cumulative Cash Flow</v>
      </c>
      <c r="C52" s="36">
        <f>'Core Calculations'!B28</f>
        <v>-4441.1111111111113</v>
      </c>
      <c r="D52" s="36">
        <f>'Core Calculations'!C28</f>
        <v>-4156.6666666666679</v>
      </c>
      <c r="E52" s="36">
        <f>'Core Calculations'!D28</f>
        <v>-3313.3333333333358</v>
      </c>
      <c r="F52" s="36">
        <f>'Core Calculations'!E28</f>
        <v>-1911.111111111115</v>
      </c>
      <c r="G52" s="36">
        <f>'Core Calculations'!F28</f>
        <v>49.999999999996362</v>
      </c>
      <c r="H52" s="36">
        <f>'Core Calculations'!G28</f>
        <v>2569.9999999999964</v>
      </c>
      <c r="I52" s="36">
        <f>'Core Calculations'!H28</f>
        <v>5648.8888888888832</v>
      </c>
      <c r="J52" s="36">
        <f>'Core Calculations'!I28</f>
        <v>9286.6666666666606</v>
      </c>
      <c r="K52" s="36">
        <f>'Core Calculations'!J28</f>
        <v>13483.333333333328</v>
      </c>
      <c r="L52" s="36">
        <f>'Core Calculations'!K28</f>
        <v>18238.888888888883</v>
      </c>
      <c r="M52" s="36">
        <f>'Core Calculations'!L28</f>
        <v>23553.333333333325</v>
      </c>
      <c r="N52" s="36">
        <f>'Core Calculations'!M28</f>
        <v>29426.666666666657</v>
      </c>
      <c r="O52" s="36">
        <f>'Core Calculations'!N28</f>
        <v>31692.222222222212</v>
      </c>
      <c r="P52" s="36">
        <f>'Core Calculations'!O28</f>
        <v>34488.722222222212</v>
      </c>
      <c r="Q52" s="36">
        <f>'Core Calculations'!P28</f>
        <v>37816.166666666657</v>
      </c>
      <c r="R52" s="36">
        <f>'Core Calculations'!Q28</f>
        <v>41674.555555555547</v>
      </c>
      <c r="S52" s="36">
        <f>'Core Calculations'!R28</f>
        <v>46063.888888888883</v>
      </c>
      <c r="T52" s="36">
        <f>'Core Calculations'!S28</f>
        <v>50984.166666666664</v>
      </c>
      <c r="U52" s="36">
        <f>'Core Calculations'!T28</f>
        <v>56435.388888888891</v>
      </c>
      <c r="V52" s="36">
        <f>'Core Calculations'!U28</f>
        <v>62417.555555555562</v>
      </c>
      <c r="W52" s="36">
        <f>'Core Calculations'!V28</f>
        <v>68930.666666666686</v>
      </c>
      <c r="X52" s="36">
        <f>'Core Calculations'!W28</f>
        <v>75974.722222222248</v>
      </c>
      <c r="Y52" s="36">
        <f>'Core Calculations'!X28</f>
        <v>83549.722222222248</v>
      </c>
      <c r="Z52" s="36">
        <f>'Core Calculations'!Y28</f>
        <v>91655.666666666686</v>
      </c>
      <c r="AA52" s="36">
        <f>'Core Calculations'!Z28</f>
        <v>104738.66666666669</v>
      </c>
      <c r="AB52" s="36">
        <f>'Core Calculations'!AA28</f>
        <v>118632.05555555558</v>
      </c>
      <c r="AC52" s="36">
        <f>'Core Calculations'!AB28</f>
        <v>133335.83333333334</v>
      </c>
      <c r="AD52" s="36">
        <f>'Core Calculations'!AC28</f>
        <v>148850</v>
      </c>
      <c r="AE52" s="36">
        <f>'Core Calculations'!AD28</f>
        <v>165174.55555555556</v>
      </c>
      <c r="AF52" s="36">
        <f>'Core Calculations'!AE28</f>
        <v>182309.5</v>
      </c>
      <c r="AG52" s="36">
        <f>'Core Calculations'!AF28</f>
        <v>200254.83333333331</v>
      </c>
      <c r="AH52" s="36">
        <f>'Core Calculations'!AG28</f>
        <v>219010.55555555553</v>
      </c>
      <c r="AI52" s="36">
        <f>'Core Calculations'!AH28</f>
        <v>238576.66666666663</v>
      </c>
      <c r="AJ52" s="36">
        <f>'Core Calculations'!AI28</f>
        <v>258953.16666666663</v>
      </c>
      <c r="AK52" s="36">
        <f>'Core Calculations'!AJ28</f>
        <v>280140.0555555555</v>
      </c>
      <c r="AL52" s="36">
        <f>'Core Calculations'!AK28</f>
        <v>302137.33333333326</v>
      </c>
      <c r="AM52" s="36">
        <f>'Core Calculations'!AL28</f>
        <v>329391.11111111101</v>
      </c>
      <c r="AN52" s="36">
        <f>'Core Calculations'!AM28</f>
        <v>357720.74999999988</v>
      </c>
      <c r="AO52" s="36">
        <f>'Core Calculations'!AN28</f>
        <v>387126.24999999988</v>
      </c>
      <c r="AP52" s="36">
        <f>'Core Calculations'!AO28</f>
        <v>417607.61111111101</v>
      </c>
      <c r="AQ52" s="36">
        <f>'Core Calculations'!AP28</f>
        <v>449164.83333333326</v>
      </c>
      <c r="AR52" s="36">
        <f>'Core Calculations'!AQ28</f>
        <v>481797.91666666657</v>
      </c>
      <c r="AS52" s="36">
        <f>'Core Calculations'!AR28</f>
        <v>515506.86111111101</v>
      </c>
      <c r="AT52" s="36">
        <f>'Core Calculations'!AS28</f>
        <v>550291.66666666651</v>
      </c>
      <c r="AU52" s="36">
        <f>'Core Calculations'!AT28</f>
        <v>586152.33333333314</v>
      </c>
      <c r="AV52" s="36">
        <f>'Core Calculations'!AU28</f>
        <v>623088.86111111089</v>
      </c>
      <c r="AW52" s="36">
        <f>'Core Calculations'!AV28</f>
        <v>661101.24999999977</v>
      </c>
      <c r="AX52" s="36">
        <f>'Core Calculations'!AW28</f>
        <v>700189.49999999977</v>
      </c>
    </row>
  </sheetData>
  <sheetProtection algorithmName="SHA-512" hashValue="cobDoRyn0e0mYHGfNwbe2n+mmFdHupLyDoU1i2+s5F1tDs7GvlTdchwD4jux3/B4jD7VCsRkWQmMYH1/E1zCRw==" saltValue="PC97YcH/HucXnhcS8AUnTw==" spinCount="100000" sheet="1" objects="1" scenarios="1"/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AY64"/>
  <sheetViews>
    <sheetView showGridLines="0" zoomScale="80" zoomScaleNormal="80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D82" sqref="D82"/>
    </sheetView>
  </sheetViews>
  <sheetFormatPr defaultColWidth="9.140625" defaultRowHeight="16.5" x14ac:dyDescent="0.3"/>
  <cols>
    <col min="1" max="1" width="77.85546875" style="38" customWidth="1"/>
    <col min="2" max="10" width="12.7109375" style="45" customWidth="1"/>
    <col min="11" max="11" width="13.85546875" style="45" customWidth="1"/>
    <col min="12" max="12" width="14.5703125" style="45" customWidth="1"/>
    <col min="13" max="13" width="12.7109375" style="45" customWidth="1"/>
    <col min="14" max="14" width="16.42578125" style="45" customWidth="1"/>
    <col min="15" max="49" width="12.7109375" style="45" customWidth="1"/>
    <col min="50" max="16384" width="9.140625" style="38"/>
  </cols>
  <sheetData>
    <row r="1" spans="1:50" ht="20.25" x14ac:dyDescent="0.35">
      <c r="B1" s="177" t="s">
        <v>11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</row>
    <row r="2" spans="1:50" hidden="1" x14ac:dyDescent="0.3">
      <c r="A2" s="38" t="s">
        <v>11</v>
      </c>
      <c r="B2" s="99">
        <v>1</v>
      </c>
      <c r="C2" s="99">
        <v>2</v>
      </c>
      <c r="D2" s="99">
        <v>3</v>
      </c>
      <c r="E2" s="99">
        <v>4</v>
      </c>
      <c r="F2" s="99">
        <v>5</v>
      </c>
      <c r="G2" s="99">
        <v>6</v>
      </c>
      <c r="H2" s="99">
        <v>7</v>
      </c>
      <c r="I2" s="99">
        <v>8</v>
      </c>
      <c r="J2" s="99">
        <v>9</v>
      </c>
      <c r="K2" s="99">
        <v>10</v>
      </c>
      <c r="L2" s="99">
        <v>11</v>
      </c>
      <c r="M2" s="99">
        <v>12</v>
      </c>
      <c r="N2" s="99">
        <v>13</v>
      </c>
      <c r="O2" s="99">
        <v>14</v>
      </c>
      <c r="P2" s="99">
        <v>15</v>
      </c>
      <c r="Q2" s="99">
        <v>16</v>
      </c>
      <c r="R2" s="99">
        <v>17</v>
      </c>
      <c r="S2" s="99">
        <v>18</v>
      </c>
      <c r="T2" s="99">
        <v>19</v>
      </c>
      <c r="U2" s="99">
        <v>20</v>
      </c>
      <c r="V2" s="99">
        <v>21</v>
      </c>
      <c r="W2" s="99">
        <v>22</v>
      </c>
      <c r="X2" s="99">
        <v>23</v>
      </c>
      <c r="Y2" s="99">
        <v>24</v>
      </c>
      <c r="Z2" s="99">
        <v>25</v>
      </c>
      <c r="AA2" s="99">
        <v>26</v>
      </c>
      <c r="AB2" s="99">
        <v>27</v>
      </c>
      <c r="AC2" s="99">
        <v>28</v>
      </c>
      <c r="AD2" s="99">
        <v>29</v>
      </c>
      <c r="AE2" s="99">
        <v>30</v>
      </c>
      <c r="AF2" s="99">
        <v>31</v>
      </c>
      <c r="AG2" s="99">
        <v>32</v>
      </c>
      <c r="AH2" s="99">
        <v>33</v>
      </c>
      <c r="AI2" s="99">
        <v>34</v>
      </c>
      <c r="AJ2" s="99">
        <v>35</v>
      </c>
      <c r="AK2" s="99">
        <v>36</v>
      </c>
      <c r="AL2" s="99">
        <v>37</v>
      </c>
      <c r="AM2" s="99">
        <v>38</v>
      </c>
      <c r="AN2" s="99">
        <v>39</v>
      </c>
      <c r="AO2" s="99">
        <v>40</v>
      </c>
      <c r="AP2" s="99">
        <v>41</v>
      </c>
      <c r="AQ2" s="99">
        <v>42</v>
      </c>
      <c r="AR2" s="99">
        <v>43</v>
      </c>
      <c r="AS2" s="99">
        <v>44</v>
      </c>
      <c r="AT2" s="99">
        <v>45</v>
      </c>
      <c r="AU2" s="99">
        <v>46</v>
      </c>
      <c r="AV2" s="99">
        <v>47</v>
      </c>
      <c r="AW2" s="99">
        <v>48</v>
      </c>
    </row>
    <row r="3" spans="1:50" hidden="1" x14ac:dyDescent="0.3"/>
    <row r="4" spans="1:50" hidden="1" x14ac:dyDescent="0.3">
      <c r="A4" s="39" t="s">
        <v>64</v>
      </c>
      <c r="B4" s="104">
        <f>'Key Business Variables'!$F$6/12</f>
        <v>0.83333333333333337</v>
      </c>
      <c r="C4" s="104">
        <f>'Key Business Variables'!$F$6/12</f>
        <v>0.83333333333333337</v>
      </c>
      <c r="D4" s="104">
        <f>'Key Business Variables'!$F$6/12</f>
        <v>0.83333333333333337</v>
      </c>
      <c r="E4" s="104">
        <f>'Key Business Variables'!$F$6/12</f>
        <v>0.83333333333333337</v>
      </c>
      <c r="F4" s="104">
        <f>'Key Business Variables'!$F$6/12</f>
        <v>0.83333333333333337</v>
      </c>
      <c r="G4" s="104">
        <f>'Key Business Variables'!$F$6/12</f>
        <v>0.83333333333333337</v>
      </c>
      <c r="H4" s="104">
        <f>'Key Business Variables'!$F$6/12</f>
        <v>0.83333333333333337</v>
      </c>
      <c r="I4" s="104">
        <f>'Key Business Variables'!$F$6/12</f>
        <v>0.83333333333333337</v>
      </c>
      <c r="J4" s="104">
        <f>'Key Business Variables'!$F$6/12</f>
        <v>0.83333333333333337</v>
      </c>
      <c r="K4" s="104">
        <f>'Key Business Variables'!$F$6/12</f>
        <v>0.83333333333333337</v>
      </c>
      <c r="L4" s="104">
        <f>'Key Business Variables'!$F$6/12</f>
        <v>0.83333333333333337</v>
      </c>
      <c r="M4" s="104">
        <f>'Key Business Variables'!$F$6/12</f>
        <v>0.83333333333333337</v>
      </c>
      <c r="N4" s="104">
        <f>'Key Business Variables'!$G$6/12</f>
        <v>0.83333333333333337</v>
      </c>
      <c r="O4" s="104">
        <f>'Key Business Variables'!$G$6/12</f>
        <v>0.83333333333333337</v>
      </c>
      <c r="P4" s="104">
        <f>'Key Business Variables'!$G$6/12</f>
        <v>0.83333333333333337</v>
      </c>
      <c r="Q4" s="104">
        <f>'Key Business Variables'!$G$6/12</f>
        <v>0.83333333333333337</v>
      </c>
      <c r="R4" s="104">
        <f>'Key Business Variables'!$G$6/12</f>
        <v>0.83333333333333337</v>
      </c>
      <c r="S4" s="104">
        <f>'Key Business Variables'!$G$6/12</f>
        <v>0.83333333333333337</v>
      </c>
      <c r="T4" s="104">
        <f>'Key Business Variables'!$G$6/12</f>
        <v>0.83333333333333337</v>
      </c>
      <c r="U4" s="104">
        <f>'Key Business Variables'!$G$6/12</f>
        <v>0.83333333333333337</v>
      </c>
      <c r="V4" s="104">
        <f>'Key Business Variables'!$G$6/12</f>
        <v>0.83333333333333337</v>
      </c>
      <c r="W4" s="104">
        <f>'Key Business Variables'!$G$6/12</f>
        <v>0.83333333333333337</v>
      </c>
      <c r="X4" s="104">
        <f>'Key Business Variables'!$G$6/12</f>
        <v>0.83333333333333337</v>
      </c>
      <c r="Y4" s="104">
        <f>'Key Business Variables'!$G$6/12</f>
        <v>0.83333333333333337</v>
      </c>
      <c r="Z4" s="104">
        <f>'Key Business Variables'!$H$6/12</f>
        <v>1.25</v>
      </c>
      <c r="AA4" s="104">
        <f>'Key Business Variables'!$H$6/12</f>
        <v>1.25</v>
      </c>
      <c r="AB4" s="104">
        <f>'Key Business Variables'!$H$6/12</f>
        <v>1.25</v>
      </c>
      <c r="AC4" s="104">
        <f>'Key Business Variables'!$H$6/12</f>
        <v>1.25</v>
      </c>
      <c r="AD4" s="104">
        <f>'Key Business Variables'!$H$6/12</f>
        <v>1.25</v>
      </c>
      <c r="AE4" s="104">
        <f>'Key Business Variables'!$H$6/12</f>
        <v>1.25</v>
      </c>
      <c r="AF4" s="104">
        <f>'Key Business Variables'!$H$6/12</f>
        <v>1.25</v>
      </c>
      <c r="AG4" s="104">
        <f>'Key Business Variables'!$H$6/12</f>
        <v>1.25</v>
      </c>
      <c r="AH4" s="104">
        <f>'Key Business Variables'!$H$6/12</f>
        <v>1.25</v>
      </c>
      <c r="AI4" s="104">
        <f>'Key Business Variables'!$H$6/12</f>
        <v>1.25</v>
      </c>
      <c r="AJ4" s="104">
        <f>'Key Business Variables'!$H$6/12</f>
        <v>1.25</v>
      </c>
      <c r="AK4" s="104">
        <f>'Key Business Variables'!$H$6/12</f>
        <v>1.25</v>
      </c>
      <c r="AL4" s="104">
        <f>'Key Business Variables'!$I$6/12</f>
        <v>1.6666666666666667</v>
      </c>
      <c r="AM4" s="104">
        <f>'Key Business Variables'!$I$6/12</f>
        <v>1.6666666666666667</v>
      </c>
      <c r="AN4" s="104">
        <f>'Key Business Variables'!$I$6/12</f>
        <v>1.6666666666666667</v>
      </c>
      <c r="AO4" s="104">
        <f>'Key Business Variables'!$I$6/12</f>
        <v>1.6666666666666667</v>
      </c>
      <c r="AP4" s="104">
        <f>'Key Business Variables'!$I$6/12</f>
        <v>1.6666666666666667</v>
      </c>
      <c r="AQ4" s="104">
        <f>'Key Business Variables'!$I$6/12</f>
        <v>1.6666666666666667</v>
      </c>
      <c r="AR4" s="104">
        <f>'Key Business Variables'!$I$6/12</f>
        <v>1.6666666666666667</v>
      </c>
      <c r="AS4" s="104">
        <f>'Key Business Variables'!$I$6/12</f>
        <v>1.6666666666666667</v>
      </c>
      <c r="AT4" s="104">
        <f>'Key Business Variables'!$I$6/12</f>
        <v>1.6666666666666667</v>
      </c>
      <c r="AU4" s="104">
        <f>'Key Business Variables'!$I$6/12</f>
        <v>1.6666666666666667</v>
      </c>
      <c r="AV4" s="104">
        <f>'Key Business Variables'!$I$6/12</f>
        <v>1.6666666666666667</v>
      </c>
      <c r="AW4" s="104">
        <f>'Key Business Variables'!$I$6/12</f>
        <v>1.6666666666666667</v>
      </c>
      <c r="AX4" s="104"/>
    </row>
    <row r="5" spans="1:50" hidden="1" x14ac:dyDescent="0.3">
      <c r="A5" s="39" t="s">
        <v>40</v>
      </c>
      <c r="B5" s="105">
        <f>B4</f>
        <v>0.83333333333333337</v>
      </c>
      <c r="C5" s="105">
        <f>B5+C4</f>
        <v>1.6666666666666667</v>
      </c>
      <c r="D5" s="105">
        <f t="shared" ref="D5:N5" si="0">C5+D4</f>
        <v>2.5</v>
      </c>
      <c r="E5" s="105">
        <f t="shared" si="0"/>
        <v>3.3333333333333335</v>
      </c>
      <c r="F5" s="105">
        <f t="shared" si="0"/>
        <v>4.166666666666667</v>
      </c>
      <c r="G5" s="105">
        <f t="shared" si="0"/>
        <v>5</v>
      </c>
      <c r="H5" s="105">
        <f t="shared" si="0"/>
        <v>5.833333333333333</v>
      </c>
      <c r="I5" s="105">
        <f t="shared" si="0"/>
        <v>6.6666666666666661</v>
      </c>
      <c r="J5" s="105">
        <f t="shared" si="0"/>
        <v>7.4999999999999991</v>
      </c>
      <c r="K5" s="105">
        <f t="shared" si="0"/>
        <v>8.3333333333333321</v>
      </c>
      <c r="L5" s="105">
        <f t="shared" si="0"/>
        <v>9.1666666666666661</v>
      </c>
      <c r="M5" s="105">
        <f t="shared" si="0"/>
        <v>10</v>
      </c>
      <c r="N5" s="105">
        <f t="shared" si="0"/>
        <v>10.833333333333334</v>
      </c>
      <c r="O5" s="105">
        <f>N5+O4-(B4*'Key Business Variables'!$C$24)</f>
        <v>11.625000000000002</v>
      </c>
      <c r="P5" s="105">
        <f>O5+P4-(C4*'Key Business Variables'!$C$24)</f>
        <v>12.41666666666667</v>
      </c>
      <c r="Q5" s="105">
        <f>P5+Q4-(D4*'Key Business Variables'!$C$24)</f>
        <v>13.208333333333337</v>
      </c>
      <c r="R5" s="105">
        <f>Q5+R4-(E4*'Key Business Variables'!$C$24)</f>
        <v>14.000000000000005</v>
      </c>
      <c r="S5" s="105">
        <f>R5+S4-(F4*'Key Business Variables'!$C$24)</f>
        <v>14.791666666666673</v>
      </c>
      <c r="T5" s="105">
        <f>S5+T4-(G4*'Key Business Variables'!$C$24)</f>
        <v>15.583333333333341</v>
      </c>
      <c r="U5" s="105">
        <f>T5+U4-(H4*'Key Business Variables'!$C$24)</f>
        <v>16.375000000000007</v>
      </c>
      <c r="V5" s="105">
        <f>U5+V4-(I4*'Key Business Variables'!$C$24)</f>
        <v>17.166666666666671</v>
      </c>
      <c r="W5" s="105">
        <f>V5+W4-(J4*'Key Business Variables'!$C$24)</f>
        <v>17.958333333333336</v>
      </c>
      <c r="X5" s="105">
        <f>W5+X4-(K4*'Key Business Variables'!$C$24)</f>
        <v>18.75</v>
      </c>
      <c r="Y5" s="105">
        <f>X5+Y4-(L4*'Key Business Variables'!$C$24)</f>
        <v>19.541666666666664</v>
      </c>
      <c r="Z5" s="105">
        <f>Y5+Z4-(M4*'Key Business Variables'!$C$24)</f>
        <v>20.749999999999996</v>
      </c>
      <c r="AA5" s="105">
        <f>Z5+AA4-(N4*'Key Business Variables'!$C$24)</f>
        <v>21.958333333333329</v>
      </c>
      <c r="AB5" s="105">
        <f>AA5+AB4-(O4*'Key Business Variables'!$C$24)</f>
        <v>23.166666666666661</v>
      </c>
      <c r="AC5" s="105">
        <f>AB5+AC4-(P4*'Key Business Variables'!$C$24)</f>
        <v>24.374999999999993</v>
      </c>
      <c r="AD5" s="105">
        <f>AC5+AD4-(Q4*'Key Business Variables'!$C$24)</f>
        <v>25.583333333333325</v>
      </c>
      <c r="AE5" s="105">
        <f>AD5+AE4-(R4*'Key Business Variables'!$C$24)</f>
        <v>26.791666666666657</v>
      </c>
      <c r="AF5" s="105">
        <f>AE5+AF4-(S4*'Key Business Variables'!$C$24)</f>
        <v>27.999999999999989</v>
      </c>
      <c r="AG5" s="105">
        <f>AF5+AG4-(T4*'Key Business Variables'!$C$24)</f>
        <v>29.208333333333321</v>
      </c>
      <c r="AH5" s="105">
        <f>AG5+AH4-(U4*'Key Business Variables'!$C$24)</f>
        <v>30.416666666666654</v>
      </c>
      <c r="AI5" s="105">
        <f>AH5+AI4-(V4*'Key Business Variables'!$C$24)</f>
        <v>31.624999999999986</v>
      </c>
      <c r="AJ5" s="105">
        <f>AI5+AJ4-(W4*'Key Business Variables'!$C$24)</f>
        <v>32.833333333333321</v>
      </c>
      <c r="AK5" s="105">
        <f>AJ5+AK4-(X4*'Key Business Variables'!$C$24)</f>
        <v>34.041666666666657</v>
      </c>
      <c r="AL5" s="105">
        <f>AK5+AL4-(Y4*'Key Business Variables'!$C$24)</f>
        <v>35.666666666666657</v>
      </c>
      <c r="AM5" s="105">
        <f>AL5+AM4-(Z4*'Key Business Variables'!$C$24)</f>
        <v>37.270833333333321</v>
      </c>
      <c r="AN5" s="105">
        <f>AM5+AN4-(AA4*'Key Business Variables'!$C$24)</f>
        <v>38.874999999999986</v>
      </c>
      <c r="AO5" s="105">
        <f>AN5+AO4-(AB4*'Key Business Variables'!$C$24)</f>
        <v>40.47916666666665</v>
      </c>
      <c r="AP5" s="105">
        <f>AO5+AP4-(AC4*'Key Business Variables'!$C$24)</f>
        <v>42.083333333333314</v>
      </c>
      <c r="AQ5" s="105">
        <f>AP5+AQ4-(AD4*'Key Business Variables'!$C$24)</f>
        <v>43.687499999999979</v>
      </c>
      <c r="AR5" s="105">
        <f>AQ5+AR4-(AE4*'Key Business Variables'!$C$24)</f>
        <v>45.291666666666643</v>
      </c>
      <c r="AS5" s="105">
        <f>AR5+AS4-(AF4*'Key Business Variables'!$C$24)</f>
        <v>46.895833333333307</v>
      </c>
      <c r="AT5" s="105">
        <f>AS5+AT4-(AG4*'Key Business Variables'!$C$24)</f>
        <v>48.499999999999972</v>
      </c>
      <c r="AU5" s="105">
        <f>AT5+AU4-(AH4*'Key Business Variables'!$C$24)</f>
        <v>50.104166666666636</v>
      </c>
      <c r="AV5" s="105">
        <f>AU5+AV4-(AI4*'Key Business Variables'!$C$24)</f>
        <v>51.7083333333333</v>
      </c>
      <c r="AW5" s="105">
        <f>AV5+AW4-(AJ4*'Key Business Variables'!$C$24)</f>
        <v>53.312499999999964</v>
      </c>
      <c r="AX5" s="104"/>
    </row>
    <row r="6" spans="1:50" hidden="1" x14ac:dyDescent="0.3">
      <c r="A6" s="39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</row>
    <row r="7" spans="1:50" hidden="1" x14ac:dyDescent="0.3">
      <c r="A7" s="39" t="s">
        <v>66</v>
      </c>
      <c r="B7" s="105">
        <f>B5*'Key Business Variables'!$C$8</f>
        <v>10</v>
      </c>
      <c r="C7" s="105">
        <f>C5*'Key Business Variables'!$C$8</f>
        <v>20</v>
      </c>
      <c r="D7" s="105">
        <f>D5*'Key Business Variables'!$C$8</f>
        <v>30</v>
      </c>
      <c r="E7" s="105">
        <f>E5*'Key Business Variables'!$C$8</f>
        <v>40</v>
      </c>
      <c r="F7" s="105">
        <f>F5*'Key Business Variables'!$C$8</f>
        <v>50</v>
      </c>
      <c r="G7" s="105">
        <f>G5*'Key Business Variables'!$C$8</f>
        <v>60</v>
      </c>
      <c r="H7" s="105">
        <f>H5*'Key Business Variables'!$C$8</f>
        <v>70</v>
      </c>
      <c r="I7" s="105">
        <f>I5*'Key Business Variables'!$C$8</f>
        <v>80</v>
      </c>
      <c r="J7" s="105">
        <f>J5*'Key Business Variables'!$C$8</f>
        <v>89.999999999999986</v>
      </c>
      <c r="K7" s="105">
        <f>K5*'Key Business Variables'!$C$8</f>
        <v>99.999999999999986</v>
      </c>
      <c r="L7" s="105">
        <f>L5*'Key Business Variables'!$C$8</f>
        <v>110</v>
      </c>
      <c r="M7" s="105">
        <f>M5*'Key Business Variables'!$C$8</f>
        <v>120</v>
      </c>
      <c r="N7" s="105">
        <f>N5*'Key Business Variables'!$C$8</f>
        <v>130</v>
      </c>
      <c r="O7" s="105">
        <f>O5*'Key Business Variables'!$C$8</f>
        <v>139.50000000000003</v>
      </c>
      <c r="P7" s="105">
        <f>P5*'Key Business Variables'!$C$8</f>
        <v>149.00000000000003</v>
      </c>
      <c r="Q7" s="105">
        <f>Q5*'Key Business Variables'!$C$8</f>
        <v>158.50000000000006</v>
      </c>
      <c r="R7" s="105">
        <f>R5*'Key Business Variables'!$C$8</f>
        <v>168.00000000000006</v>
      </c>
      <c r="S7" s="105">
        <f>S5*'Key Business Variables'!$C$8</f>
        <v>177.50000000000009</v>
      </c>
      <c r="T7" s="105">
        <f>T5*'Key Business Variables'!$C$8</f>
        <v>187.00000000000009</v>
      </c>
      <c r="U7" s="105">
        <f>U5*'Key Business Variables'!$C$8</f>
        <v>196.50000000000009</v>
      </c>
      <c r="V7" s="105">
        <f>V5*'Key Business Variables'!$C$8</f>
        <v>206.00000000000006</v>
      </c>
      <c r="W7" s="105">
        <f>W5*'Key Business Variables'!$C$8</f>
        <v>215.50000000000003</v>
      </c>
      <c r="X7" s="105">
        <f>X5*'Key Business Variables'!$C$8</f>
        <v>225</v>
      </c>
      <c r="Y7" s="105">
        <f>Y5*'Key Business Variables'!$C$8</f>
        <v>234.49999999999997</v>
      </c>
      <c r="Z7" s="105">
        <f>Z5*'Key Business Variables'!$C$8</f>
        <v>248.99999999999994</v>
      </c>
      <c r="AA7" s="105">
        <f>AA5*'Key Business Variables'!$C$8</f>
        <v>263.49999999999994</v>
      </c>
      <c r="AB7" s="105">
        <f>AB5*'Key Business Variables'!$C$8</f>
        <v>277.99999999999994</v>
      </c>
      <c r="AC7" s="105">
        <f>AC5*'Key Business Variables'!$C$8</f>
        <v>292.49999999999989</v>
      </c>
      <c r="AD7" s="105">
        <f>AD5*'Key Business Variables'!$C$8</f>
        <v>306.99999999999989</v>
      </c>
      <c r="AE7" s="105">
        <f>AE5*'Key Business Variables'!$C$8</f>
        <v>321.49999999999989</v>
      </c>
      <c r="AF7" s="105">
        <f>AF5*'Key Business Variables'!$C$8</f>
        <v>335.99999999999989</v>
      </c>
      <c r="AG7" s="105">
        <f>AG5*'Key Business Variables'!$C$8</f>
        <v>350.49999999999989</v>
      </c>
      <c r="AH7" s="105">
        <f>AH5*'Key Business Variables'!$C$8</f>
        <v>364.99999999999983</v>
      </c>
      <c r="AI7" s="105">
        <f>AI5*'Key Business Variables'!$C$8</f>
        <v>379.49999999999983</v>
      </c>
      <c r="AJ7" s="105">
        <f>AJ5*'Key Business Variables'!$C$8</f>
        <v>393.99999999999989</v>
      </c>
      <c r="AK7" s="105">
        <f>AK5*'Key Business Variables'!$C$8</f>
        <v>408.49999999999989</v>
      </c>
      <c r="AL7" s="105">
        <f>AL5*'Key Business Variables'!$C$8</f>
        <v>427.99999999999989</v>
      </c>
      <c r="AM7" s="105">
        <f>AM5*'Key Business Variables'!$C$8</f>
        <v>447.24999999999989</v>
      </c>
      <c r="AN7" s="105">
        <f>AN5*'Key Business Variables'!$C$8</f>
        <v>466.49999999999983</v>
      </c>
      <c r="AO7" s="105">
        <f>AO5*'Key Business Variables'!$C$8</f>
        <v>485.74999999999977</v>
      </c>
      <c r="AP7" s="105">
        <f>AP5*'Key Business Variables'!$C$8</f>
        <v>504.99999999999977</v>
      </c>
      <c r="AQ7" s="105">
        <f>AQ5*'Key Business Variables'!$C$8</f>
        <v>524.24999999999977</v>
      </c>
      <c r="AR7" s="105">
        <f>AR5*'Key Business Variables'!$C$8</f>
        <v>543.49999999999977</v>
      </c>
      <c r="AS7" s="105">
        <f>AS5*'Key Business Variables'!$C$8</f>
        <v>562.74999999999966</v>
      </c>
      <c r="AT7" s="105">
        <f>AT5*'Key Business Variables'!$C$8</f>
        <v>581.99999999999966</v>
      </c>
      <c r="AU7" s="105">
        <f>AU5*'Key Business Variables'!$C$8</f>
        <v>601.24999999999966</v>
      </c>
      <c r="AV7" s="105">
        <f>AV5*'Key Business Variables'!$C$8</f>
        <v>620.49999999999955</v>
      </c>
      <c r="AW7" s="105">
        <f>AW5*'Key Business Variables'!$C$8</f>
        <v>639.74999999999955</v>
      </c>
    </row>
    <row r="8" spans="1:50" hidden="1" x14ac:dyDescent="0.3">
      <c r="A8" s="39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68"/>
      <c r="AO8" s="68"/>
      <c r="AP8" s="68"/>
      <c r="AQ8" s="68"/>
      <c r="AR8" s="68"/>
      <c r="AS8" s="68"/>
      <c r="AT8" s="68"/>
      <c r="AU8" s="68"/>
      <c r="AV8" s="68"/>
      <c r="AW8" s="68"/>
    </row>
    <row r="9" spans="1:50" hidden="1" x14ac:dyDescent="0.3">
      <c r="A9" s="39" t="s">
        <v>68</v>
      </c>
      <c r="B9" s="105">
        <f>B5*'Key Business Variables'!$C$43/100</f>
        <v>0.66666666666666674</v>
      </c>
      <c r="C9" s="105">
        <f>C5*'Key Business Variables'!$C$43/100</f>
        <v>1.3333333333333335</v>
      </c>
      <c r="D9" s="105">
        <f>D5*'Key Business Variables'!$C$43/100</f>
        <v>2</v>
      </c>
      <c r="E9" s="105">
        <f>E5*'Key Business Variables'!$C$43/100</f>
        <v>2.666666666666667</v>
      </c>
      <c r="F9" s="105">
        <f>F5*'Key Business Variables'!$C$43/100</f>
        <v>3.3333333333333339</v>
      </c>
      <c r="G9" s="105">
        <f>G5*'Key Business Variables'!$C$43/100</f>
        <v>4</v>
      </c>
      <c r="H9" s="105">
        <f>H5*'Key Business Variables'!$C$43/100</f>
        <v>4.6666666666666661</v>
      </c>
      <c r="I9" s="105">
        <f>I5*'Key Business Variables'!$C$43/100</f>
        <v>5.3333333333333321</v>
      </c>
      <c r="J9" s="105">
        <f>J5*'Key Business Variables'!$C$43/100</f>
        <v>5.9999999999999991</v>
      </c>
      <c r="K9" s="105">
        <f>K5*'Key Business Variables'!$C$43/100</f>
        <v>6.6666666666666652</v>
      </c>
      <c r="L9" s="105">
        <f>L5*'Key Business Variables'!$C$43/100</f>
        <v>7.3333333333333321</v>
      </c>
      <c r="M9" s="105">
        <f>M5*'Key Business Variables'!$C$43/100</f>
        <v>8</v>
      </c>
      <c r="N9" s="105">
        <f>N5*'Key Business Variables'!$C$43/100</f>
        <v>8.6666666666666679</v>
      </c>
      <c r="O9" s="105">
        <f>O5*'Key Business Variables'!$C$43/100</f>
        <v>9.3000000000000007</v>
      </c>
      <c r="P9" s="105">
        <f>P5*'Key Business Variables'!$C$43/100</f>
        <v>9.9333333333333353</v>
      </c>
      <c r="Q9" s="105">
        <f>Q5*'Key Business Variables'!$C$43/100</f>
        <v>10.56666666666667</v>
      </c>
      <c r="R9" s="105">
        <f>R5*'Key Business Variables'!$C$43/100</f>
        <v>11.200000000000005</v>
      </c>
      <c r="S9" s="105">
        <f>S5*'Key Business Variables'!$C$43/100</f>
        <v>11.833333333333339</v>
      </c>
      <c r="T9" s="105">
        <f>T5*'Key Business Variables'!$C$43/100</f>
        <v>12.466666666666672</v>
      </c>
      <c r="U9" s="105">
        <f>U5*'Key Business Variables'!$C$43/100</f>
        <v>13.100000000000005</v>
      </c>
      <c r="V9" s="105">
        <f>V5*'Key Business Variables'!$C$43/100</f>
        <v>13.733333333333338</v>
      </c>
      <c r="W9" s="105">
        <f>W5*'Key Business Variables'!$C$43/100</f>
        <v>14.366666666666669</v>
      </c>
      <c r="X9" s="105">
        <f>X5*'Key Business Variables'!$C$43/100</f>
        <v>15</v>
      </c>
      <c r="Y9" s="105">
        <f>Y5*'Key Business Variables'!$C$43/100</f>
        <v>15.633333333333331</v>
      </c>
      <c r="Z9" s="105">
        <f>Z5*'Key Business Variables'!$C$43/100</f>
        <v>16.599999999999998</v>
      </c>
      <c r="AA9" s="105">
        <f>AA5*'Key Business Variables'!$C$43/100</f>
        <v>17.566666666666663</v>
      </c>
      <c r="AB9" s="105">
        <f>AB5*'Key Business Variables'!$C$43/100</f>
        <v>18.533333333333328</v>
      </c>
      <c r="AC9" s="105">
        <f>AC5*'Key Business Variables'!$C$43/100</f>
        <v>19.499999999999996</v>
      </c>
      <c r="AD9" s="105">
        <f>AD5*'Key Business Variables'!$C$43/100</f>
        <v>20.466666666666661</v>
      </c>
      <c r="AE9" s="105">
        <f>AE5*'Key Business Variables'!$C$43/100</f>
        <v>21.433333333333326</v>
      </c>
      <c r="AF9" s="105">
        <f>AF5*'Key Business Variables'!$C$43/100</f>
        <v>22.399999999999991</v>
      </c>
      <c r="AG9" s="105">
        <f>AG5*'Key Business Variables'!$C$43/100</f>
        <v>23.366666666666656</v>
      </c>
      <c r="AH9" s="105">
        <f>AH5*'Key Business Variables'!$C$43/100</f>
        <v>24.333333333333321</v>
      </c>
      <c r="AI9" s="105">
        <f>AI5*'Key Business Variables'!$C$43/100</f>
        <v>25.29999999999999</v>
      </c>
      <c r="AJ9" s="105">
        <f>AJ5*'Key Business Variables'!$C$43/100</f>
        <v>26.266666666666655</v>
      </c>
      <c r="AK9" s="105">
        <f>AK5*'Key Business Variables'!$C$43/100</f>
        <v>27.233333333333327</v>
      </c>
      <c r="AL9" s="105">
        <f>AL5*'Key Business Variables'!$C$43/100</f>
        <v>28.533333333333324</v>
      </c>
      <c r="AM9" s="105">
        <f>AM5*'Key Business Variables'!$C$43/100</f>
        <v>29.816666666666656</v>
      </c>
      <c r="AN9" s="105">
        <f>AN5*'Key Business Variables'!$C$43/100</f>
        <v>31.099999999999991</v>
      </c>
      <c r="AO9" s="105">
        <f>AO5*'Key Business Variables'!$C$43/100</f>
        <v>32.383333333333319</v>
      </c>
      <c r="AP9" s="105">
        <f>AP5*'Key Business Variables'!$C$43/100</f>
        <v>33.66666666666665</v>
      </c>
      <c r="AQ9" s="105">
        <f>AQ5*'Key Business Variables'!$C$43/100</f>
        <v>34.949999999999982</v>
      </c>
      <c r="AR9" s="105">
        <f>AR5*'Key Business Variables'!$C$43/100</f>
        <v>36.233333333333313</v>
      </c>
      <c r="AS9" s="105">
        <f>AS5*'Key Business Variables'!$C$43/100</f>
        <v>37.516666666666644</v>
      </c>
      <c r="AT9" s="105">
        <f>AT5*'Key Business Variables'!$C$43/100</f>
        <v>38.799999999999976</v>
      </c>
      <c r="AU9" s="105">
        <f>AU5*'Key Business Variables'!$C$43/100</f>
        <v>40.083333333333307</v>
      </c>
      <c r="AV9" s="105">
        <f>AV5*'Key Business Variables'!$C$43/100</f>
        <v>41.366666666666646</v>
      </c>
      <c r="AW9" s="105">
        <f>AW5*'Key Business Variables'!$C$43/100</f>
        <v>42.64999999999997</v>
      </c>
    </row>
    <row r="10" spans="1:50" hidden="1" x14ac:dyDescent="0.3">
      <c r="A10" s="39" t="s">
        <v>69</v>
      </c>
      <c r="B10" s="105">
        <f>B7*'Key Business Variables'!$C$44/100</f>
        <v>8</v>
      </c>
      <c r="C10" s="105">
        <f>C7*'Key Business Variables'!$C$44/100</f>
        <v>16</v>
      </c>
      <c r="D10" s="105">
        <f>D7*'Key Business Variables'!$C$44/100</f>
        <v>24</v>
      </c>
      <c r="E10" s="105">
        <f>E7*'Key Business Variables'!$C$44/100</f>
        <v>32</v>
      </c>
      <c r="F10" s="105">
        <f>F7*'Key Business Variables'!$C$44/100</f>
        <v>40</v>
      </c>
      <c r="G10" s="105">
        <f>G7*'Key Business Variables'!$C$44/100</f>
        <v>48</v>
      </c>
      <c r="H10" s="105">
        <f>H7*'Key Business Variables'!$C$44/100</f>
        <v>56</v>
      </c>
      <c r="I10" s="105">
        <f>I7*'Key Business Variables'!$C$44/100</f>
        <v>64</v>
      </c>
      <c r="J10" s="105">
        <f>J7*'Key Business Variables'!$C$44/100</f>
        <v>71.999999999999986</v>
      </c>
      <c r="K10" s="105">
        <f>K7*'Key Business Variables'!$C$44/100</f>
        <v>79.999999999999986</v>
      </c>
      <c r="L10" s="105">
        <f>L7*'Key Business Variables'!$C$44/100</f>
        <v>88</v>
      </c>
      <c r="M10" s="105">
        <f>M7*'Key Business Variables'!$C$44/100</f>
        <v>96</v>
      </c>
      <c r="N10" s="105">
        <f>N7*'Key Business Variables'!$C$44/100</f>
        <v>104</v>
      </c>
      <c r="O10" s="105">
        <f>O7*'Key Business Variables'!$C$44/100</f>
        <v>111.60000000000002</v>
      </c>
      <c r="P10" s="105">
        <f>P7*'Key Business Variables'!$C$44/100</f>
        <v>119.20000000000002</v>
      </c>
      <c r="Q10" s="105">
        <f>Q7*'Key Business Variables'!$C$44/100</f>
        <v>126.80000000000004</v>
      </c>
      <c r="R10" s="105">
        <f>R7*'Key Business Variables'!$C$44/100</f>
        <v>134.40000000000003</v>
      </c>
      <c r="S10" s="105">
        <f>S7*'Key Business Variables'!$C$44/100</f>
        <v>142.00000000000009</v>
      </c>
      <c r="T10" s="105">
        <f>T7*'Key Business Variables'!$C$44/100</f>
        <v>149.60000000000008</v>
      </c>
      <c r="U10" s="105">
        <f>U7*'Key Business Variables'!$C$44/100</f>
        <v>157.20000000000007</v>
      </c>
      <c r="V10" s="105">
        <f>V7*'Key Business Variables'!$C$44/100</f>
        <v>164.80000000000004</v>
      </c>
      <c r="W10" s="105">
        <f>W7*'Key Business Variables'!$C$44/100</f>
        <v>172.40000000000003</v>
      </c>
      <c r="X10" s="105">
        <f>X7*'Key Business Variables'!$C$44/100</f>
        <v>180</v>
      </c>
      <c r="Y10" s="105">
        <f>Y7*'Key Business Variables'!$C$44/100</f>
        <v>187.59999999999997</v>
      </c>
      <c r="Z10" s="105">
        <f>Z7*'Key Business Variables'!$C$44/100</f>
        <v>199.19999999999996</v>
      </c>
      <c r="AA10" s="105">
        <f>AA7*'Key Business Variables'!$C$44/100</f>
        <v>210.79999999999995</v>
      </c>
      <c r="AB10" s="105">
        <f>AB7*'Key Business Variables'!$C$44/100</f>
        <v>222.39999999999998</v>
      </c>
      <c r="AC10" s="105">
        <f>AC7*'Key Business Variables'!$C$44/100</f>
        <v>233.99999999999991</v>
      </c>
      <c r="AD10" s="105">
        <f>AD7*'Key Business Variables'!$C$44/100</f>
        <v>245.59999999999994</v>
      </c>
      <c r="AE10" s="105">
        <f>AE7*'Key Business Variables'!$C$44/100</f>
        <v>257.19999999999993</v>
      </c>
      <c r="AF10" s="105">
        <f>AF7*'Key Business Variables'!$C$44/100</f>
        <v>268.79999999999995</v>
      </c>
      <c r="AG10" s="105">
        <f>AG7*'Key Business Variables'!$C$44/100</f>
        <v>280.39999999999992</v>
      </c>
      <c r="AH10" s="105">
        <f>AH7*'Key Business Variables'!$C$44/100</f>
        <v>291.99999999999983</v>
      </c>
      <c r="AI10" s="105">
        <f>AI7*'Key Business Variables'!$C$44/100</f>
        <v>303.59999999999985</v>
      </c>
      <c r="AJ10" s="105">
        <f>AJ7*'Key Business Variables'!$C$44/100</f>
        <v>315.19999999999993</v>
      </c>
      <c r="AK10" s="105">
        <f>AK7*'Key Business Variables'!$C$44/100</f>
        <v>326.79999999999995</v>
      </c>
      <c r="AL10" s="105">
        <f>AL7*'Key Business Variables'!$C$44/100</f>
        <v>342.39999999999992</v>
      </c>
      <c r="AM10" s="105">
        <f>AM7*'Key Business Variables'!$C$44/100</f>
        <v>357.79999999999995</v>
      </c>
      <c r="AN10" s="105">
        <f>AN7*'Key Business Variables'!$C$44/100</f>
        <v>373.19999999999987</v>
      </c>
      <c r="AO10" s="105">
        <f>AO7*'Key Business Variables'!$C$44/100</f>
        <v>388.59999999999985</v>
      </c>
      <c r="AP10" s="105">
        <f>AP7*'Key Business Variables'!$C$44/100</f>
        <v>403.99999999999983</v>
      </c>
      <c r="AQ10" s="105">
        <f>AQ7*'Key Business Variables'!$C$44/100</f>
        <v>419.39999999999986</v>
      </c>
      <c r="AR10" s="105">
        <f>AR7*'Key Business Variables'!$C$44/100</f>
        <v>434.79999999999984</v>
      </c>
      <c r="AS10" s="105">
        <f>AS7*'Key Business Variables'!$C$44/100</f>
        <v>450.1999999999997</v>
      </c>
      <c r="AT10" s="105">
        <f>AT7*'Key Business Variables'!$C$44/100</f>
        <v>465.59999999999968</v>
      </c>
      <c r="AU10" s="105">
        <f>AU7*'Key Business Variables'!$C$44/100</f>
        <v>480.99999999999972</v>
      </c>
      <c r="AV10" s="105">
        <f>AV7*'Key Business Variables'!$C$44/100</f>
        <v>496.39999999999964</v>
      </c>
      <c r="AW10" s="105">
        <f>AW7*'Key Business Variables'!$C$44/100</f>
        <v>511.79999999999961</v>
      </c>
    </row>
    <row r="11" spans="1:50" hidden="1" x14ac:dyDescent="0.3">
      <c r="A11" s="39"/>
      <c r="B11" s="107"/>
      <c r="C11" s="108"/>
      <c r="D11" s="108"/>
      <c r="E11" s="108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8"/>
      <c r="AW11" s="108"/>
    </row>
    <row r="12" spans="1:50" hidden="1" x14ac:dyDescent="0.3">
      <c r="A12" s="47" t="s">
        <v>14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</row>
    <row r="13" spans="1:50" hidden="1" x14ac:dyDescent="0.3">
      <c r="A13" s="39" t="str">
        <f>'Key Business Variables'!B11</f>
        <v>Initial Project Fees</v>
      </c>
      <c r="B13" s="68">
        <f>B4*'Key Business Variables'!$C$11</f>
        <v>8333.3333333333339</v>
      </c>
      <c r="C13" s="68">
        <f>C4*'Key Business Variables'!$C$11</f>
        <v>8333.3333333333339</v>
      </c>
      <c r="D13" s="68">
        <f>D4*'Key Business Variables'!$C$11</f>
        <v>8333.3333333333339</v>
      </c>
      <c r="E13" s="68">
        <f>E4*'Key Business Variables'!$C$11</f>
        <v>8333.3333333333339</v>
      </c>
      <c r="F13" s="68">
        <f>F4*'Key Business Variables'!$C$11</f>
        <v>8333.3333333333339</v>
      </c>
      <c r="G13" s="68">
        <f>G4*'Key Business Variables'!$C$11</f>
        <v>8333.3333333333339</v>
      </c>
      <c r="H13" s="68">
        <f>H4*'Key Business Variables'!$C$11</f>
        <v>8333.3333333333339</v>
      </c>
      <c r="I13" s="68">
        <f>I4*'Key Business Variables'!$C$11</f>
        <v>8333.3333333333339</v>
      </c>
      <c r="J13" s="68">
        <f>J4*'Key Business Variables'!$C$11</f>
        <v>8333.3333333333339</v>
      </c>
      <c r="K13" s="68">
        <f>K4*'Key Business Variables'!$C$11</f>
        <v>8333.3333333333339</v>
      </c>
      <c r="L13" s="68">
        <f>L4*'Key Business Variables'!$C$11</f>
        <v>8333.3333333333339</v>
      </c>
      <c r="M13" s="68">
        <f>M4*'Key Business Variables'!$C$11</f>
        <v>8333.3333333333339</v>
      </c>
      <c r="N13" s="68">
        <f>N4*'Key Business Variables'!$C$11</f>
        <v>8333.3333333333339</v>
      </c>
      <c r="O13" s="68">
        <f>O4*'Key Business Variables'!$C$11</f>
        <v>8333.3333333333339</v>
      </c>
      <c r="P13" s="68">
        <f>P4*'Key Business Variables'!$C$11</f>
        <v>8333.3333333333339</v>
      </c>
      <c r="Q13" s="68">
        <f>Q4*'Key Business Variables'!$C$11</f>
        <v>8333.3333333333339</v>
      </c>
      <c r="R13" s="68">
        <f>R4*'Key Business Variables'!$C$11</f>
        <v>8333.3333333333339</v>
      </c>
      <c r="S13" s="68">
        <f>S4*'Key Business Variables'!$C$11</f>
        <v>8333.3333333333339</v>
      </c>
      <c r="T13" s="68">
        <f>T4*'Key Business Variables'!$C$11</f>
        <v>8333.3333333333339</v>
      </c>
      <c r="U13" s="68">
        <f>U4*'Key Business Variables'!$C$11</f>
        <v>8333.3333333333339</v>
      </c>
      <c r="V13" s="68">
        <f>V4*'Key Business Variables'!$C$11</f>
        <v>8333.3333333333339</v>
      </c>
      <c r="W13" s="68">
        <f>W4*'Key Business Variables'!$C$11</f>
        <v>8333.3333333333339</v>
      </c>
      <c r="X13" s="68">
        <f>X4*'Key Business Variables'!$C$11</f>
        <v>8333.3333333333339</v>
      </c>
      <c r="Y13" s="68">
        <f>Y4*'Key Business Variables'!$C$11</f>
        <v>8333.3333333333339</v>
      </c>
      <c r="Z13" s="68">
        <f>Z4*'Key Business Variables'!$C$11</f>
        <v>12500</v>
      </c>
      <c r="AA13" s="68">
        <f>AA4*'Key Business Variables'!$C$11</f>
        <v>12500</v>
      </c>
      <c r="AB13" s="68">
        <f>AB4*'Key Business Variables'!$C$11</f>
        <v>12500</v>
      </c>
      <c r="AC13" s="68">
        <f>AC4*'Key Business Variables'!$C$11</f>
        <v>12500</v>
      </c>
      <c r="AD13" s="68">
        <f>AD4*'Key Business Variables'!$C$11</f>
        <v>12500</v>
      </c>
      <c r="AE13" s="68">
        <f>AE4*'Key Business Variables'!$C$11</f>
        <v>12500</v>
      </c>
      <c r="AF13" s="68">
        <f>AF4*'Key Business Variables'!$C$11</f>
        <v>12500</v>
      </c>
      <c r="AG13" s="68">
        <f>AG4*'Key Business Variables'!$C$11</f>
        <v>12500</v>
      </c>
      <c r="AH13" s="68">
        <f>AH4*'Key Business Variables'!$C$11</f>
        <v>12500</v>
      </c>
      <c r="AI13" s="68">
        <f>AI4*'Key Business Variables'!$C$11</f>
        <v>12500</v>
      </c>
      <c r="AJ13" s="68">
        <f>AJ4*'Key Business Variables'!$C$11</f>
        <v>12500</v>
      </c>
      <c r="AK13" s="68">
        <f>AK4*'Key Business Variables'!$C$11</f>
        <v>12500</v>
      </c>
      <c r="AL13" s="68">
        <f>AL4*'Key Business Variables'!$C$11</f>
        <v>16666.666666666668</v>
      </c>
      <c r="AM13" s="68">
        <f>AM4*'Key Business Variables'!$C$11</f>
        <v>16666.666666666668</v>
      </c>
      <c r="AN13" s="68">
        <f>AN4*'Key Business Variables'!$C$11</f>
        <v>16666.666666666668</v>
      </c>
      <c r="AO13" s="68">
        <f>AO4*'Key Business Variables'!$C$11</f>
        <v>16666.666666666668</v>
      </c>
      <c r="AP13" s="68">
        <f>AP4*'Key Business Variables'!$C$11</f>
        <v>16666.666666666668</v>
      </c>
      <c r="AQ13" s="68">
        <f>AQ4*'Key Business Variables'!$C$11</f>
        <v>16666.666666666668</v>
      </c>
      <c r="AR13" s="68">
        <f>AR4*'Key Business Variables'!$C$11</f>
        <v>16666.666666666668</v>
      </c>
      <c r="AS13" s="68">
        <f>AS4*'Key Business Variables'!$C$11</f>
        <v>16666.666666666668</v>
      </c>
      <c r="AT13" s="68">
        <f>AT4*'Key Business Variables'!$C$11</f>
        <v>16666.666666666668</v>
      </c>
      <c r="AU13" s="68">
        <f>AU4*'Key Business Variables'!$C$11</f>
        <v>16666.666666666668</v>
      </c>
      <c r="AV13" s="68">
        <f>AV4*'Key Business Variables'!$C$11</f>
        <v>16666.666666666668</v>
      </c>
      <c r="AW13" s="68">
        <f>AW4*'Key Business Variables'!$C$11</f>
        <v>16666.666666666668</v>
      </c>
    </row>
    <row r="14" spans="1:50" hidden="1" x14ac:dyDescent="0.3">
      <c r="A14" s="39" t="str">
        <f>'Key Business Variables'!B12</f>
        <v>Ongoing Support Fees</v>
      </c>
      <c r="B14" s="68">
        <f>B9*'Key Business Variables'!$C$12/12</f>
        <v>138.88888888888889</v>
      </c>
      <c r="C14" s="68">
        <f>C9*'Key Business Variables'!$C$12/12</f>
        <v>277.77777777777777</v>
      </c>
      <c r="D14" s="68">
        <f>D9*'Key Business Variables'!$C$12/12</f>
        <v>416.66666666666669</v>
      </c>
      <c r="E14" s="68">
        <f>E9*'Key Business Variables'!$C$12/12</f>
        <v>555.55555555555554</v>
      </c>
      <c r="F14" s="68">
        <f>F9*'Key Business Variables'!$C$12/12</f>
        <v>694.44444444444446</v>
      </c>
      <c r="G14" s="68">
        <f>G9*'Key Business Variables'!$C$12/12</f>
        <v>833.33333333333337</v>
      </c>
      <c r="H14" s="68">
        <f>H9*'Key Business Variables'!$C$12/12</f>
        <v>972.22222222222217</v>
      </c>
      <c r="I14" s="68">
        <f>I9*'Key Business Variables'!$C$12/12</f>
        <v>1111.1111111111109</v>
      </c>
      <c r="J14" s="68">
        <f>J9*'Key Business Variables'!$C$12/12</f>
        <v>1249.9999999999998</v>
      </c>
      <c r="K14" s="68">
        <f>K9*'Key Business Variables'!$C$12/12</f>
        <v>1388.8888888888887</v>
      </c>
      <c r="L14" s="68">
        <f>L9*'Key Business Variables'!$C$12/12</f>
        <v>1527.7777777777776</v>
      </c>
      <c r="M14" s="68">
        <f>M9*'Key Business Variables'!$C$12/12</f>
        <v>1666.6666666666667</v>
      </c>
      <c r="N14" s="68">
        <f>N9*'Key Business Variables'!$C$12/12</f>
        <v>1805.5555555555557</v>
      </c>
      <c r="O14" s="68">
        <f>O9*'Key Business Variables'!$C$12/12</f>
        <v>1937.5</v>
      </c>
      <c r="P14" s="68">
        <f>P9*'Key Business Variables'!$C$12/12</f>
        <v>2069.4444444444448</v>
      </c>
      <c r="Q14" s="68">
        <f>Q9*'Key Business Variables'!$C$12/12</f>
        <v>2201.3888888888896</v>
      </c>
      <c r="R14" s="68">
        <f>R9*'Key Business Variables'!$C$12/12</f>
        <v>2333.3333333333344</v>
      </c>
      <c r="S14" s="68">
        <f>S9*'Key Business Variables'!$C$12/12</f>
        <v>2465.2777777777787</v>
      </c>
      <c r="T14" s="68">
        <f>T9*'Key Business Variables'!$C$12/12</f>
        <v>2597.2222222222231</v>
      </c>
      <c r="U14" s="68">
        <f>U9*'Key Business Variables'!$C$12/12</f>
        <v>2729.1666666666674</v>
      </c>
      <c r="V14" s="68">
        <f>V9*'Key Business Variables'!$C$12/12</f>
        <v>2861.1111111111118</v>
      </c>
      <c r="W14" s="68">
        <f>W9*'Key Business Variables'!$C$12/12</f>
        <v>2993.0555555555561</v>
      </c>
      <c r="X14" s="68">
        <f>X9*'Key Business Variables'!$C$12/12</f>
        <v>3125</v>
      </c>
      <c r="Y14" s="68">
        <f>Y9*'Key Business Variables'!$C$12/12</f>
        <v>3256.9444444444439</v>
      </c>
      <c r="Z14" s="68">
        <f>Z9*'Key Business Variables'!$C$12/12</f>
        <v>3458.3333333333326</v>
      </c>
      <c r="AA14" s="68">
        <f>AA9*'Key Business Variables'!$C$12/12</f>
        <v>3659.7222222222213</v>
      </c>
      <c r="AB14" s="68">
        <f>AB9*'Key Business Variables'!$C$12/12</f>
        <v>3861.1111111111099</v>
      </c>
      <c r="AC14" s="68">
        <f>AC9*'Key Business Variables'!$C$12/12</f>
        <v>4062.4999999999995</v>
      </c>
      <c r="AD14" s="68">
        <f>AD9*'Key Business Variables'!$C$12/12</f>
        <v>4263.8888888888878</v>
      </c>
      <c r="AE14" s="68">
        <f>AE9*'Key Business Variables'!$C$12/12</f>
        <v>4465.2777777777765</v>
      </c>
      <c r="AF14" s="68">
        <f>AF9*'Key Business Variables'!$C$12/12</f>
        <v>4666.6666666666652</v>
      </c>
      <c r="AG14" s="68">
        <f>AG9*'Key Business Variables'!$C$12/12</f>
        <v>4868.0555555555538</v>
      </c>
      <c r="AH14" s="68">
        <f>AH9*'Key Business Variables'!$C$12/12</f>
        <v>5069.4444444444425</v>
      </c>
      <c r="AI14" s="68">
        <f>AI9*'Key Business Variables'!$C$12/12</f>
        <v>5270.8333333333312</v>
      </c>
      <c r="AJ14" s="68">
        <f>AJ9*'Key Business Variables'!$C$12/12</f>
        <v>5472.2222222222199</v>
      </c>
      <c r="AK14" s="68">
        <f>AK9*'Key Business Variables'!$C$12/12</f>
        <v>5673.6111111111095</v>
      </c>
      <c r="AL14" s="68">
        <f>AL9*'Key Business Variables'!$C$12/12</f>
        <v>5944.4444444444425</v>
      </c>
      <c r="AM14" s="68">
        <f>AM9*'Key Business Variables'!$C$12/12</f>
        <v>6211.8055555555538</v>
      </c>
      <c r="AN14" s="68">
        <f>AN9*'Key Business Variables'!$C$12/12</f>
        <v>6479.1666666666642</v>
      </c>
      <c r="AO14" s="68">
        <f>AO9*'Key Business Variables'!$C$12/12</f>
        <v>6746.5277777777746</v>
      </c>
      <c r="AP14" s="68">
        <f>AP9*'Key Business Variables'!$C$12/12</f>
        <v>7013.888888888886</v>
      </c>
      <c r="AQ14" s="68">
        <f>AQ9*'Key Business Variables'!$C$12/12</f>
        <v>7281.2499999999964</v>
      </c>
      <c r="AR14" s="68">
        <f>AR9*'Key Business Variables'!$C$12/12</f>
        <v>7548.6111111111068</v>
      </c>
      <c r="AS14" s="68">
        <f>AS9*'Key Business Variables'!$C$12/12</f>
        <v>7815.9722222222181</v>
      </c>
      <c r="AT14" s="68">
        <f>AT9*'Key Business Variables'!$C$12/12</f>
        <v>8083.3333333333285</v>
      </c>
      <c r="AU14" s="68">
        <f>AU9*'Key Business Variables'!$C$12/12</f>
        <v>8350.6944444444398</v>
      </c>
      <c r="AV14" s="68">
        <f>AV9*'Key Business Variables'!$C$12/12</f>
        <v>8618.0555555555511</v>
      </c>
      <c r="AW14" s="68">
        <f>AW9*'Key Business Variables'!$C$12/12</f>
        <v>8885.4166666666606</v>
      </c>
    </row>
    <row r="15" spans="1:50" hidden="1" x14ac:dyDescent="0.3">
      <c r="A15" s="39" t="str">
        <f>'Key Business Variables'!B13</f>
        <v>Power App Subscription Fees</v>
      </c>
      <c r="B15" s="68">
        <f>B7*'Key Business Variables'!$C$13/12</f>
        <v>1200</v>
      </c>
      <c r="C15" s="68">
        <f>C7*'Key Business Variables'!$C$13/12</f>
        <v>2400</v>
      </c>
      <c r="D15" s="68">
        <f>D7*'Key Business Variables'!$C$13/12</f>
        <v>3600</v>
      </c>
      <c r="E15" s="68">
        <f>E7*'Key Business Variables'!$C$13/12</f>
        <v>4800</v>
      </c>
      <c r="F15" s="68">
        <f>F7*'Key Business Variables'!$C$13/12</f>
        <v>6000</v>
      </c>
      <c r="G15" s="68">
        <f>G7*'Key Business Variables'!$C$13/12</f>
        <v>7200</v>
      </c>
      <c r="H15" s="68">
        <f>H7*'Key Business Variables'!$C$13/12</f>
        <v>8400</v>
      </c>
      <c r="I15" s="68">
        <f>I7*'Key Business Variables'!$C$13/12</f>
        <v>9600</v>
      </c>
      <c r="J15" s="68">
        <f>J7*'Key Business Variables'!$C$13/12</f>
        <v>10799.999999999998</v>
      </c>
      <c r="K15" s="68">
        <f>K7*'Key Business Variables'!$C$13/12</f>
        <v>11999.999999999998</v>
      </c>
      <c r="L15" s="68">
        <f>L7*'Key Business Variables'!$C$13/12</f>
        <v>13200</v>
      </c>
      <c r="M15" s="68">
        <f>M7*'Key Business Variables'!$C$13/12</f>
        <v>14400</v>
      </c>
      <c r="N15" s="68">
        <f>N7*'Key Business Variables'!$C$13/12</f>
        <v>15600</v>
      </c>
      <c r="O15" s="68">
        <f>O7*'Key Business Variables'!$C$13/12</f>
        <v>16740.000000000004</v>
      </c>
      <c r="P15" s="68">
        <f>P7*'Key Business Variables'!$C$13/12</f>
        <v>17880.000000000004</v>
      </c>
      <c r="Q15" s="68">
        <f>Q7*'Key Business Variables'!$C$13/12</f>
        <v>19020.000000000007</v>
      </c>
      <c r="R15" s="68">
        <f>R7*'Key Business Variables'!$C$13/12</f>
        <v>20160.000000000007</v>
      </c>
      <c r="S15" s="68">
        <f>S7*'Key Business Variables'!$C$13/12</f>
        <v>21300.000000000011</v>
      </c>
      <c r="T15" s="68">
        <f>T7*'Key Business Variables'!$C$13/12</f>
        <v>22440.000000000011</v>
      </c>
      <c r="U15" s="68">
        <f>U7*'Key Business Variables'!$C$13/12</f>
        <v>23580.000000000011</v>
      </c>
      <c r="V15" s="68">
        <f>V7*'Key Business Variables'!$C$13/12</f>
        <v>24720.000000000004</v>
      </c>
      <c r="W15" s="68">
        <f>W7*'Key Business Variables'!$C$13/12</f>
        <v>25860.000000000004</v>
      </c>
      <c r="X15" s="68">
        <f>X7*'Key Business Variables'!$C$13/12</f>
        <v>27000</v>
      </c>
      <c r="Y15" s="68">
        <f>Y7*'Key Business Variables'!$C$13/12</f>
        <v>28139.999999999996</v>
      </c>
      <c r="Z15" s="68">
        <f>Z7*'Key Business Variables'!$C$13/12</f>
        <v>29879.999999999996</v>
      </c>
      <c r="AA15" s="68">
        <f>AA7*'Key Business Variables'!$C$13/12</f>
        <v>31619.999999999996</v>
      </c>
      <c r="AB15" s="68">
        <f>AB7*'Key Business Variables'!$C$13/12</f>
        <v>33359.999999999993</v>
      </c>
      <c r="AC15" s="68">
        <f>AC7*'Key Business Variables'!$C$13/12</f>
        <v>35099.999999999985</v>
      </c>
      <c r="AD15" s="68">
        <f>AD7*'Key Business Variables'!$C$13/12</f>
        <v>36839.999999999985</v>
      </c>
      <c r="AE15" s="68">
        <f>AE7*'Key Business Variables'!$C$13/12</f>
        <v>38579.999999999985</v>
      </c>
      <c r="AF15" s="68">
        <f>AF7*'Key Business Variables'!$C$13/12</f>
        <v>40319.999999999985</v>
      </c>
      <c r="AG15" s="68">
        <f>AG7*'Key Business Variables'!$C$13/12</f>
        <v>42059.999999999985</v>
      </c>
      <c r="AH15" s="68">
        <f>AH7*'Key Business Variables'!$C$13/12</f>
        <v>43799.999999999978</v>
      </c>
      <c r="AI15" s="68">
        <f>AI7*'Key Business Variables'!$C$13/12</f>
        <v>45539.999999999978</v>
      </c>
      <c r="AJ15" s="68">
        <f>AJ7*'Key Business Variables'!$C$13/12</f>
        <v>47279.999999999993</v>
      </c>
      <c r="AK15" s="68">
        <f>AK7*'Key Business Variables'!$C$13/12</f>
        <v>49019.999999999993</v>
      </c>
      <c r="AL15" s="68">
        <f>AL7*'Key Business Variables'!$C$13/12</f>
        <v>51359.999999999993</v>
      </c>
      <c r="AM15" s="68">
        <f>AM7*'Key Business Variables'!$C$13/12</f>
        <v>53669.999999999993</v>
      </c>
      <c r="AN15" s="68">
        <f>AN7*'Key Business Variables'!$C$13/12</f>
        <v>55979.999999999978</v>
      </c>
      <c r="AO15" s="68">
        <f>AO7*'Key Business Variables'!$C$13/12</f>
        <v>58289.999999999971</v>
      </c>
      <c r="AP15" s="68">
        <f>AP7*'Key Business Variables'!$C$13/12</f>
        <v>60599.999999999971</v>
      </c>
      <c r="AQ15" s="68">
        <f>AQ7*'Key Business Variables'!$C$13/12</f>
        <v>62909.999999999971</v>
      </c>
      <c r="AR15" s="68">
        <f>AR7*'Key Business Variables'!$C$13/12</f>
        <v>65219.999999999971</v>
      </c>
      <c r="AS15" s="68">
        <f>AS7*'Key Business Variables'!$C$13/12</f>
        <v>67529.999999999956</v>
      </c>
      <c r="AT15" s="68">
        <f>AT7*'Key Business Variables'!$C$13/12</f>
        <v>69839.999999999956</v>
      </c>
      <c r="AU15" s="68">
        <f>AU7*'Key Business Variables'!$C$13/12</f>
        <v>72149.999999999956</v>
      </c>
      <c r="AV15" s="68">
        <f>AV7*'Key Business Variables'!$C$13/12</f>
        <v>74459.999999999942</v>
      </c>
      <c r="AW15" s="68">
        <f>AW7*'Key Business Variables'!$C$13/12</f>
        <v>76769.999999999942</v>
      </c>
    </row>
    <row r="16" spans="1:50" hidden="1" x14ac:dyDescent="0.3">
      <c r="A16" s="39" t="str">
        <f>'Key Business Variables'!B14</f>
        <v>Partner IP Subscription Fees</v>
      </c>
      <c r="B16" s="68">
        <f>B10*'Key Business Variables'!$C$14/12</f>
        <v>120</v>
      </c>
      <c r="C16" s="68">
        <f>C10*'Key Business Variables'!$C$14/12</f>
        <v>240</v>
      </c>
      <c r="D16" s="68">
        <f>D10*'Key Business Variables'!$C$14/12</f>
        <v>360</v>
      </c>
      <c r="E16" s="68">
        <f>E10*'Key Business Variables'!$C$14/12</f>
        <v>480</v>
      </c>
      <c r="F16" s="68">
        <f>F10*'Key Business Variables'!$C$14/12</f>
        <v>600</v>
      </c>
      <c r="G16" s="68">
        <f>G10*'Key Business Variables'!$C$14/12</f>
        <v>720</v>
      </c>
      <c r="H16" s="68">
        <f>H10*'Key Business Variables'!$C$14/12</f>
        <v>840</v>
      </c>
      <c r="I16" s="68">
        <f>I10*'Key Business Variables'!$C$14/12</f>
        <v>960</v>
      </c>
      <c r="J16" s="68">
        <f>J10*'Key Business Variables'!$C$14/12</f>
        <v>1079.9999999999998</v>
      </c>
      <c r="K16" s="68">
        <f>K10*'Key Business Variables'!$C$14/12</f>
        <v>1199.9999999999998</v>
      </c>
      <c r="L16" s="68">
        <f>L10*'Key Business Variables'!$C$14/12</f>
        <v>1320</v>
      </c>
      <c r="M16" s="68">
        <f>M10*'Key Business Variables'!$C$14/12</f>
        <v>1440</v>
      </c>
      <c r="N16" s="68">
        <f>N10*'Key Business Variables'!$C$14/12</f>
        <v>1560</v>
      </c>
      <c r="O16" s="68">
        <f>O10*'Key Business Variables'!$C$14/12</f>
        <v>1674.0000000000002</v>
      </c>
      <c r="P16" s="68">
        <f>P10*'Key Business Variables'!$C$14/12</f>
        <v>1788.0000000000002</v>
      </c>
      <c r="Q16" s="68">
        <f>Q10*'Key Business Variables'!$C$14/12</f>
        <v>1902.0000000000007</v>
      </c>
      <c r="R16" s="68">
        <f>R10*'Key Business Variables'!$C$14/12</f>
        <v>2016.0000000000007</v>
      </c>
      <c r="S16" s="68">
        <f>S10*'Key Business Variables'!$C$14/12</f>
        <v>2130.0000000000014</v>
      </c>
      <c r="T16" s="68">
        <f>T10*'Key Business Variables'!$C$14/12</f>
        <v>2244.0000000000014</v>
      </c>
      <c r="U16" s="68">
        <f>U10*'Key Business Variables'!$C$14/12</f>
        <v>2358.0000000000014</v>
      </c>
      <c r="V16" s="68">
        <f>V10*'Key Business Variables'!$C$14/12</f>
        <v>2472.0000000000005</v>
      </c>
      <c r="W16" s="68">
        <f>W10*'Key Business Variables'!$C$14/12</f>
        <v>2586.0000000000005</v>
      </c>
      <c r="X16" s="68">
        <f>X10*'Key Business Variables'!$C$14/12</f>
        <v>2700</v>
      </c>
      <c r="Y16" s="68">
        <f>Y10*'Key Business Variables'!$C$14/12</f>
        <v>2813.9999999999995</v>
      </c>
      <c r="Z16" s="68">
        <f>Z10*'Key Business Variables'!$C$14/12</f>
        <v>2987.9999999999995</v>
      </c>
      <c r="AA16" s="68">
        <f>AA10*'Key Business Variables'!$C$14/12</f>
        <v>3161.9999999999995</v>
      </c>
      <c r="AB16" s="68">
        <f>AB10*'Key Business Variables'!$C$14/12</f>
        <v>3335.9999999999995</v>
      </c>
      <c r="AC16" s="68">
        <f>AC10*'Key Business Variables'!$C$14/12</f>
        <v>3509.9999999999986</v>
      </c>
      <c r="AD16" s="68">
        <f>AD10*'Key Business Variables'!$C$14/12</f>
        <v>3683.9999999999986</v>
      </c>
      <c r="AE16" s="68">
        <f>AE10*'Key Business Variables'!$C$14/12</f>
        <v>3857.9999999999986</v>
      </c>
      <c r="AF16" s="68">
        <f>AF10*'Key Business Variables'!$C$14/12</f>
        <v>4031.9999999999995</v>
      </c>
      <c r="AG16" s="68">
        <f>AG10*'Key Business Variables'!$C$14/12</f>
        <v>4205.9999999999991</v>
      </c>
      <c r="AH16" s="68">
        <f>AH10*'Key Business Variables'!$C$14/12</f>
        <v>4379.9999999999973</v>
      </c>
      <c r="AI16" s="68">
        <f>AI10*'Key Business Variables'!$C$14/12</f>
        <v>4553.9999999999973</v>
      </c>
      <c r="AJ16" s="68">
        <f>AJ10*'Key Business Variables'!$C$14/12</f>
        <v>4727.9999999999991</v>
      </c>
      <c r="AK16" s="68">
        <f>AK10*'Key Business Variables'!$C$14/12</f>
        <v>4901.9999999999991</v>
      </c>
      <c r="AL16" s="68">
        <f>AL10*'Key Business Variables'!$C$14/12</f>
        <v>5135.9999999999991</v>
      </c>
      <c r="AM16" s="68">
        <f>AM10*'Key Business Variables'!$C$14/12</f>
        <v>5366.9999999999991</v>
      </c>
      <c r="AN16" s="68">
        <f>AN10*'Key Business Variables'!$C$14/12</f>
        <v>5597.9999999999973</v>
      </c>
      <c r="AO16" s="68">
        <f>AO10*'Key Business Variables'!$C$14/12</f>
        <v>5828.9999999999973</v>
      </c>
      <c r="AP16" s="68">
        <f>AP10*'Key Business Variables'!$C$14/12</f>
        <v>6059.9999999999973</v>
      </c>
      <c r="AQ16" s="68">
        <f>AQ10*'Key Business Variables'!$C$14/12</f>
        <v>6290.9999999999973</v>
      </c>
      <c r="AR16" s="68">
        <f>AR10*'Key Business Variables'!$C$14/12</f>
        <v>6521.9999999999973</v>
      </c>
      <c r="AS16" s="68">
        <f>AS10*'Key Business Variables'!$C$14/12</f>
        <v>6752.9999999999955</v>
      </c>
      <c r="AT16" s="68">
        <f>AT10*'Key Business Variables'!$C$14/12</f>
        <v>6983.9999999999955</v>
      </c>
      <c r="AU16" s="68">
        <f>AU10*'Key Business Variables'!$C$14/12</f>
        <v>7214.9999999999955</v>
      </c>
      <c r="AV16" s="68">
        <f>AV10*'Key Business Variables'!$C$14/12</f>
        <v>7445.9999999999955</v>
      </c>
      <c r="AW16" s="68">
        <f>AW10*'Key Business Variables'!$C$14/12</f>
        <v>7676.9999999999936</v>
      </c>
    </row>
    <row r="17" spans="1:51" s="42" customFormat="1" hidden="1" x14ac:dyDescent="0.3">
      <c r="A17" s="39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</row>
    <row r="18" spans="1:51" hidden="1" x14ac:dyDescent="0.3">
      <c r="A18" s="47" t="s">
        <v>20</v>
      </c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</row>
    <row r="19" spans="1:51" hidden="1" x14ac:dyDescent="0.3">
      <c r="A19" s="39" t="str">
        <f>'Key Business Variables'!B13</f>
        <v>Power App Subscription Fees</v>
      </c>
      <c r="B19" s="115">
        <f>B15*(1-'Key Business Variables'!$C$22)</f>
        <v>900</v>
      </c>
      <c r="C19" s="115">
        <f>C15*(1-'Key Business Variables'!$C$22)</f>
        <v>1800</v>
      </c>
      <c r="D19" s="115">
        <f>D15*(1-'Key Business Variables'!$C$22)</f>
        <v>2700</v>
      </c>
      <c r="E19" s="115">
        <f>E15*(1-'Key Business Variables'!$C$22)</f>
        <v>3600</v>
      </c>
      <c r="F19" s="115">
        <f>F15*(1-'Key Business Variables'!$C$22)</f>
        <v>4500</v>
      </c>
      <c r="G19" s="115">
        <f>G15*(1-'Key Business Variables'!$C$22)</f>
        <v>5400</v>
      </c>
      <c r="H19" s="115">
        <f>H15*(1-'Key Business Variables'!$C$22)</f>
        <v>6300</v>
      </c>
      <c r="I19" s="115">
        <f>I15*(1-'Key Business Variables'!$C$22)</f>
        <v>7200</v>
      </c>
      <c r="J19" s="115">
        <f>J15*(1-'Key Business Variables'!$C$22)</f>
        <v>8099.9999999999982</v>
      </c>
      <c r="K19" s="115">
        <f>K15*(1-'Key Business Variables'!$C$22)</f>
        <v>8999.9999999999982</v>
      </c>
      <c r="L19" s="115">
        <f>L15*(1-'Key Business Variables'!$C$22)</f>
        <v>9900</v>
      </c>
      <c r="M19" s="115">
        <f>M15*(1-'Key Business Variables'!$C$22)</f>
        <v>10800</v>
      </c>
      <c r="N19" s="115">
        <f>N15*(1-'Key Business Variables'!$C$22)</f>
        <v>11700</v>
      </c>
      <c r="O19" s="115">
        <f>O15*(1-'Key Business Variables'!$C$22)</f>
        <v>12555.000000000004</v>
      </c>
      <c r="P19" s="115">
        <f>P15*(1-'Key Business Variables'!$C$22)</f>
        <v>13410.000000000004</v>
      </c>
      <c r="Q19" s="115">
        <f>Q15*(1-'Key Business Variables'!$C$22)</f>
        <v>14265.000000000005</v>
      </c>
      <c r="R19" s="115">
        <f>R15*(1-'Key Business Variables'!$C$22)</f>
        <v>15120.000000000005</v>
      </c>
      <c r="S19" s="115">
        <f>S15*(1-'Key Business Variables'!$C$22)</f>
        <v>15975.000000000007</v>
      </c>
      <c r="T19" s="115">
        <f>T15*(1-'Key Business Variables'!$C$22)</f>
        <v>16830.000000000007</v>
      </c>
      <c r="U19" s="115">
        <f>U15*(1-'Key Business Variables'!$C$22)</f>
        <v>17685.000000000007</v>
      </c>
      <c r="V19" s="115">
        <f>V15*(1-'Key Business Variables'!$C$22)</f>
        <v>18540.000000000004</v>
      </c>
      <c r="W19" s="115">
        <f>W15*(1-'Key Business Variables'!$C$22)</f>
        <v>19395.000000000004</v>
      </c>
      <c r="X19" s="115">
        <f>X15*(1-'Key Business Variables'!$C$22)</f>
        <v>20250</v>
      </c>
      <c r="Y19" s="115">
        <f>Y15*(1-'Key Business Variables'!$C$22)</f>
        <v>21104.999999999996</v>
      </c>
      <c r="Z19" s="115">
        <f>Z15*(1-'Key Business Variables'!$C$22)</f>
        <v>22409.999999999996</v>
      </c>
      <c r="AA19" s="115">
        <f>AA15*(1-'Key Business Variables'!$C$22)</f>
        <v>23714.999999999996</v>
      </c>
      <c r="AB19" s="115">
        <f>AB15*(1-'Key Business Variables'!$C$22)</f>
        <v>25019.999999999993</v>
      </c>
      <c r="AC19" s="115">
        <f>AC15*(1-'Key Business Variables'!$C$22)</f>
        <v>26324.999999999989</v>
      </c>
      <c r="AD19" s="115">
        <f>AD15*(1-'Key Business Variables'!$C$22)</f>
        <v>27629.999999999989</v>
      </c>
      <c r="AE19" s="115">
        <f>AE15*(1-'Key Business Variables'!$C$22)</f>
        <v>28934.999999999989</v>
      </c>
      <c r="AF19" s="115">
        <f>AF15*(1-'Key Business Variables'!$C$22)</f>
        <v>30239.999999999989</v>
      </c>
      <c r="AG19" s="115">
        <f>AG15*(1-'Key Business Variables'!$C$22)</f>
        <v>31544.999999999989</v>
      </c>
      <c r="AH19" s="115">
        <f>AH15*(1-'Key Business Variables'!$C$22)</f>
        <v>32849.999999999985</v>
      </c>
      <c r="AI19" s="115">
        <f>AI15*(1-'Key Business Variables'!$C$22)</f>
        <v>34154.999999999985</v>
      </c>
      <c r="AJ19" s="115">
        <f>AJ15*(1-'Key Business Variables'!$C$22)</f>
        <v>35459.999999999993</v>
      </c>
      <c r="AK19" s="115">
        <f>AK15*(1-'Key Business Variables'!$C$22)</f>
        <v>36764.999999999993</v>
      </c>
      <c r="AL19" s="115">
        <f>AL15*(1-'Key Business Variables'!$C$22)</f>
        <v>38519.999999999993</v>
      </c>
      <c r="AM19" s="115">
        <f>AM15*(1-'Key Business Variables'!$C$22)</f>
        <v>40252.499999999993</v>
      </c>
      <c r="AN19" s="115">
        <f>AN15*(1-'Key Business Variables'!$C$22)</f>
        <v>41984.999999999985</v>
      </c>
      <c r="AO19" s="115">
        <f>AO15*(1-'Key Business Variables'!$C$22)</f>
        <v>43717.499999999978</v>
      </c>
      <c r="AP19" s="115">
        <f>AP15*(1-'Key Business Variables'!$C$22)</f>
        <v>45449.999999999978</v>
      </c>
      <c r="AQ19" s="115">
        <f>AQ15*(1-'Key Business Variables'!$C$22)</f>
        <v>47182.499999999978</v>
      </c>
      <c r="AR19" s="115">
        <f>AR15*(1-'Key Business Variables'!$C$22)</f>
        <v>48914.999999999978</v>
      </c>
      <c r="AS19" s="115">
        <f>AS15*(1-'Key Business Variables'!$C$22)</f>
        <v>50647.499999999971</v>
      </c>
      <c r="AT19" s="115">
        <f>AT15*(1-'Key Business Variables'!$C$22)</f>
        <v>52379.999999999971</v>
      </c>
      <c r="AU19" s="115">
        <f>AU15*(1-'Key Business Variables'!$C$22)</f>
        <v>54112.499999999971</v>
      </c>
      <c r="AV19" s="115">
        <f>AV15*(1-'Key Business Variables'!$C$22)</f>
        <v>55844.999999999956</v>
      </c>
      <c r="AW19" s="115">
        <f>AW15*(1-'Key Business Variables'!$C$22)</f>
        <v>57577.499999999956</v>
      </c>
    </row>
    <row r="20" spans="1:51" hidden="1" x14ac:dyDescent="0.3">
      <c r="A20" s="39" t="str">
        <f>'Key Business Variables'!B17</f>
        <v>Architect</v>
      </c>
      <c r="B20" s="87">
        <f>'Key Business Variables'!$G9*'Key Business Variables'!$C17/12</f>
        <v>5000</v>
      </c>
      <c r="C20" s="87">
        <f>'Key Business Variables'!$F9*'Key Business Variables'!$C17/12</f>
        <v>5000</v>
      </c>
      <c r="D20" s="87">
        <f>'Key Business Variables'!$F9*'Key Business Variables'!$C17/12</f>
        <v>5000</v>
      </c>
      <c r="E20" s="87">
        <f>'Key Business Variables'!$F9*'Key Business Variables'!$C17/12</f>
        <v>5000</v>
      </c>
      <c r="F20" s="87">
        <f>'Key Business Variables'!$F9*'Key Business Variables'!$C17/12</f>
        <v>5000</v>
      </c>
      <c r="G20" s="87">
        <f>'Key Business Variables'!$F9*'Key Business Variables'!$C17/12</f>
        <v>5000</v>
      </c>
      <c r="H20" s="87">
        <f>'Key Business Variables'!$F9*'Key Business Variables'!$C17/12</f>
        <v>5000</v>
      </c>
      <c r="I20" s="87">
        <f>'Key Business Variables'!$F9*'Key Business Variables'!$C17/12</f>
        <v>5000</v>
      </c>
      <c r="J20" s="87">
        <f>'Key Business Variables'!$F9*'Key Business Variables'!$C17/12</f>
        <v>5000</v>
      </c>
      <c r="K20" s="87">
        <f>'Key Business Variables'!$F9*'Key Business Variables'!$C17/12</f>
        <v>5000</v>
      </c>
      <c r="L20" s="87">
        <f>'Key Business Variables'!$F9*'Key Business Variables'!$C17/12</f>
        <v>5000</v>
      </c>
      <c r="M20" s="87">
        <f>'Key Business Variables'!$F9*'Key Business Variables'!$C17/12</f>
        <v>5000</v>
      </c>
      <c r="N20" s="87">
        <f>'Key Business Variables'!$G9*'Key Business Variables'!$C17/12</f>
        <v>5000</v>
      </c>
      <c r="O20" s="87">
        <f>'Key Business Variables'!$G9*'Key Business Variables'!$C17/12</f>
        <v>5000</v>
      </c>
      <c r="P20" s="87">
        <f>'Key Business Variables'!$G9*'Key Business Variables'!$C17/12</f>
        <v>5000</v>
      </c>
      <c r="Q20" s="87">
        <f>'Key Business Variables'!$G9*'Key Business Variables'!$C17/12</f>
        <v>5000</v>
      </c>
      <c r="R20" s="87">
        <f>'Key Business Variables'!$G9*'Key Business Variables'!$C17/12</f>
        <v>5000</v>
      </c>
      <c r="S20" s="87">
        <f>'Key Business Variables'!$G9*'Key Business Variables'!$C17/12</f>
        <v>5000</v>
      </c>
      <c r="T20" s="87">
        <f>'Key Business Variables'!$G9*'Key Business Variables'!$C17/12</f>
        <v>5000</v>
      </c>
      <c r="U20" s="87">
        <f>'Key Business Variables'!$G9*'Key Business Variables'!$C17/12</f>
        <v>5000</v>
      </c>
      <c r="V20" s="87">
        <f>'Key Business Variables'!$G9*'Key Business Variables'!$C17/12</f>
        <v>5000</v>
      </c>
      <c r="W20" s="87">
        <f>'Key Business Variables'!$G9*'Key Business Variables'!$C17/12</f>
        <v>5000</v>
      </c>
      <c r="X20" s="87">
        <f>'Key Business Variables'!$G9*'Key Business Variables'!$C17/12</f>
        <v>5000</v>
      </c>
      <c r="Y20" s="87">
        <f>'Key Business Variables'!$G9*'Key Business Variables'!$C17/12</f>
        <v>5000</v>
      </c>
      <c r="Z20" s="87">
        <f>'Key Business Variables'!$H9*'Key Business Variables'!$C17/12</f>
        <v>5000</v>
      </c>
      <c r="AA20" s="87">
        <f>'Key Business Variables'!$H9*'Key Business Variables'!$C17/12</f>
        <v>5000</v>
      </c>
      <c r="AB20" s="87">
        <f>'Key Business Variables'!$H9*'Key Business Variables'!$C17/12</f>
        <v>5000</v>
      </c>
      <c r="AC20" s="87">
        <f>'Key Business Variables'!$H9*'Key Business Variables'!$C17/12</f>
        <v>5000</v>
      </c>
      <c r="AD20" s="87">
        <f>'Key Business Variables'!$H9*'Key Business Variables'!$C17/12</f>
        <v>5000</v>
      </c>
      <c r="AE20" s="87">
        <f>'Key Business Variables'!$H9*'Key Business Variables'!$C17/12</f>
        <v>5000</v>
      </c>
      <c r="AF20" s="87">
        <f>'Key Business Variables'!$H9*'Key Business Variables'!$C17/12</f>
        <v>5000</v>
      </c>
      <c r="AG20" s="87">
        <f>'Key Business Variables'!$H9*'Key Business Variables'!$C17/12</f>
        <v>5000</v>
      </c>
      <c r="AH20" s="87">
        <f>'Key Business Variables'!$H9*'Key Business Variables'!$C17/12</f>
        <v>5000</v>
      </c>
      <c r="AI20" s="87">
        <f>'Key Business Variables'!$H9*'Key Business Variables'!$C17/12</f>
        <v>5000</v>
      </c>
      <c r="AJ20" s="87">
        <f>'Key Business Variables'!$H9*'Key Business Variables'!$C17/12</f>
        <v>5000</v>
      </c>
      <c r="AK20" s="87">
        <f>'Key Business Variables'!$H9*'Key Business Variables'!$C17/12</f>
        <v>5000</v>
      </c>
      <c r="AL20" s="87">
        <f>'Key Business Variables'!$I9*'Key Business Variables'!$C17/12</f>
        <v>5000</v>
      </c>
      <c r="AM20" s="87">
        <f>'Key Business Variables'!$I9*'Key Business Variables'!$C17/12</f>
        <v>5000</v>
      </c>
      <c r="AN20" s="87">
        <f>'Key Business Variables'!$I9*'Key Business Variables'!$C17/12</f>
        <v>5000</v>
      </c>
      <c r="AO20" s="87">
        <f>'Key Business Variables'!$I9*'Key Business Variables'!$C17/12</f>
        <v>5000</v>
      </c>
      <c r="AP20" s="87">
        <f>'Key Business Variables'!$I9*'Key Business Variables'!$C17/12</f>
        <v>5000</v>
      </c>
      <c r="AQ20" s="87">
        <f>'Key Business Variables'!$I9*'Key Business Variables'!$C17/12</f>
        <v>5000</v>
      </c>
      <c r="AR20" s="87">
        <f>'Key Business Variables'!$I9*'Key Business Variables'!$C17/12</f>
        <v>5000</v>
      </c>
      <c r="AS20" s="87">
        <f>'Key Business Variables'!$I9*'Key Business Variables'!$C17/12</f>
        <v>5000</v>
      </c>
      <c r="AT20" s="87">
        <f>'Key Business Variables'!$I9*'Key Business Variables'!$C17/12</f>
        <v>5000</v>
      </c>
      <c r="AU20" s="87">
        <f>'Key Business Variables'!$I9*'Key Business Variables'!$C17/12</f>
        <v>5000</v>
      </c>
      <c r="AV20" s="87">
        <f>'Key Business Variables'!$I9*'Key Business Variables'!$C17/12</f>
        <v>5000</v>
      </c>
      <c r="AW20" s="87">
        <f>'Key Business Variables'!$I9*'Key Business Variables'!$C17/12</f>
        <v>5000</v>
      </c>
      <c r="AX20" s="41"/>
      <c r="AY20" s="41"/>
    </row>
    <row r="21" spans="1:51" hidden="1" x14ac:dyDescent="0.3">
      <c r="A21" s="39" t="str">
        <f>'Key Business Variables'!B18</f>
        <v>Developer</v>
      </c>
      <c r="B21" s="87">
        <f>'Key Business Variables'!$G10*'Key Business Variables'!$C18/12</f>
        <v>8333.3333333333339</v>
      </c>
      <c r="C21" s="87">
        <f>'Key Business Variables'!$F10*'Key Business Variables'!$C18/12</f>
        <v>4166.666666666667</v>
      </c>
      <c r="D21" s="87">
        <f>'Key Business Variables'!$F10*'Key Business Variables'!$C18/12</f>
        <v>4166.666666666667</v>
      </c>
      <c r="E21" s="87">
        <f>'Key Business Variables'!$F10*'Key Business Variables'!$C18/12</f>
        <v>4166.666666666667</v>
      </c>
      <c r="F21" s="87">
        <f>'Key Business Variables'!$F10*'Key Business Variables'!$C18/12</f>
        <v>4166.666666666667</v>
      </c>
      <c r="G21" s="87">
        <f>'Key Business Variables'!$F10*'Key Business Variables'!$C18/12</f>
        <v>4166.666666666667</v>
      </c>
      <c r="H21" s="87">
        <f>'Key Business Variables'!$F10*'Key Business Variables'!$C18/12</f>
        <v>4166.666666666667</v>
      </c>
      <c r="I21" s="87">
        <f>'Key Business Variables'!$F10*'Key Business Variables'!$C18/12</f>
        <v>4166.666666666667</v>
      </c>
      <c r="J21" s="87">
        <f>'Key Business Variables'!$F10*'Key Business Variables'!$C18/12</f>
        <v>4166.666666666667</v>
      </c>
      <c r="K21" s="87">
        <f>'Key Business Variables'!$F10*'Key Business Variables'!$C18/12</f>
        <v>4166.666666666667</v>
      </c>
      <c r="L21" s="87">
        <f>'Key Business Variables'!$F10*'Key Business Variables'!$C18/12</f>
        <v>4166.666666666667</v>
      </c>
      <c r="M21" s="87">
        <f>'Key Business Variables'!$F10*'Key Business Variables'!$C18/12</f>
        <v>4166.666666666667</v>
      </c>
      <c r="N21" s="87">
        <f>'Key Business Variables'!$G10*'Key Business Variables'!$C18/12</f>
        <v>8333.3333333333339</v>
      </c>
      <c r="O21" s="87">
        <f>'Key Business Variables'!$G10*'Key Business Variables'!$C18/12</f>
        <v>8333.3333333333339</v>
      </c>
      <c r="P21" s="87">
        <f>'Key Business Variables'!$G10*'Key Business Variables'!$C18/12</f>
        <v>8333.3333333333339</v>
      </c>
      <c r="Q21" s="87">
        <f>'Key Business Variables'!$G10*'Key Business Variables'!$C18/12</f>
        <v>8333.3333333333339</v>
      </c>
      <c r="R21" s="87">
        <f>'Key Business Variables'!$G10*'Key Business Variables'!$C18/12</f>
        <v>8333.3333333333339</v>
      </c>
      <c r="S21" s="87">
        <f>'Key Business Variables'!$G10*'Key Business Variables'!$C18/12</f>
        <v>8333.3333333333339</v>
      </c>
      <c r="T21" s="87">
        <f>'Key Business Variables'!$G10*'Key Business Variables'!$C18/12</f>
        <v>8333.3333333333339</v>
      </c>
      <c r="U21" s="87">
        <f>'Key Business Variables'!$G10*'Key Business Variables'!$C18/12</f>
        <v>8333.3333333333339</v>
      </c>
      <c r="V21" s="87">
        <f>'Key Business Variables'!$G10*'Key Business Variables'!$C18/12</f>
        <v>8333.3333333333339</v>
      </c>
      <c r="W21" s="87">
        <f>'Key Business Variables'!$G10*'Key Business Variables'!$C18/12</f>
        <v>8333.3333333333339</v>
      </c>
      <c r="X21" s="87">
        <f>'Key Business Variables'!$G10*'Key Business Variables'!$C18/12</f>
        <v>8333.3333333333339</v>
      </c>
      <c r="Y21" s="87">
        <f>'Key Business Variables'!$G10*'Key Business Variables'!$C18/12</f>
        <v>8333.3333333333339</v>
      </c>
      <c r="Z21" s="87">
        <f>'Key Business Variables'!$H10*'Key Business Variables'!$C18/12</f>
        <v>8333.3333333333339</v>
      </c>
      <c r="AA21" s="87">
        <f>'Key Business Variables'!$H10*'Key Business Variables'!$C18/12</f>
        <v>8333.3333333333339</v>
      </c>
      <c r="AB21" s="87">
        <f>'Key Business Variables'!$H10*'Key Business Variables'!$C18/12</f>
        <v>8333.3333333333339</v>
      </c>
      <c r="AC21" s="87">
        <f>'Key Business Variables'!$H10*'Key Business Variables'!$C18/12</f>
        <v>8333.3333333333339</v>
      </c>
      <c r="AD21" s="87">
        <f>'Key Business Variables'!$H10*'Key Business Variables'!$C18/12</f>
        <v>8333.3333333333339</v>
      </c>
      <c r="AE21" s="87">
        <f>'Key Business Variables'!$H10*'Key Business Variables'!$C18/12</f>
        <v>8333.3333333333339</v>
      </c>
      <c r="AF21" s="87">
        <f>'Key Business Variables'!$H10*'Key Business Variables'!$C18/12</f>
        <v>8333.3333333333339</v>
      </c>
      <c r="AG21" s="87">
        <f>'Key Business Variables'!$H10*'Key Business Variables'!$C18/12</f>
        <v>8333.3333333333339</v>
      </c>
      <c r="AH21" s="87">
        <f>'Key Business Variables'!$H10*'Key Business Variables'!$C18/12</f>
        <v>8333.3333333333339</v>
      </c>
      <c r="AI21" s="87">
        <f>'Key Business Variables'!$H10*'Key Business Variables'!$C18/12</f>
        <v>8333.3333333333339</v>
      </c>
      <c r="AJ21" s="87">
        <f>'Key Business Variables'!$H10*'Key Business Variables'!$C18/12</f>
        <v>8333.3333333333339</v>
      </c>
      <c r="AK21" s="87">
        <f>'Key Business Variables'!$H10*'Key Business Variables'!$C18/12</f>
        <v>8333.3333333333339</v>
      </c>
      <c r="AL21" s="87">
        <f>'Key Business Variables'!$I10*'Key Business Variables'!$C18/12</f>
        <v>8333.3333333333339</v>
      </c>
      <c r="AM21" s="87">
        <f>'Key Business Variables'!$I10*'Key Business Variables'!$C18/12</f>
        <v>8333.3333333333339</v>
      </c>
      <c r="AN21" s="87">
        <f>'Key Business Variables'!$I10*'Key Business Variables'!$C18/12</f>
        <v>8333.3333333333339</v>
      </c>
      <c r="AO21" s="87">
        <f>'Key Business Variables'!$I10*'Key Business Variables'!$C18/12</f>
        <v>8333.3333333333339</v>
      </c>
      <c r="AP21" s="87">
        <f>'Key Business Variables'!$I10*'Key Business Variables'!$C18/12</f>
        <v>8333.3333333333339</v>
      </c>
      <c r="AQ21" s="87">
        <f>'Key Business Variables'!$I10*'Key Business Variables'!$C18/12</f>
        <v>8333.3333333333339</v>
      </c>
      <c r="AR21" s="87">
        <f>'Key Business Variables'!$I10*'Key Business Variables'!$C18/12</f>
        <v>8333.3333333333339</v>
      </c>
      <c r="AS21" s="87">
        <f>'Key Business Variables'!$I10*'Key Business Variables'!$C18/12</f>
        <v>8333.3333333333339</v>
      </c>
      <c r="AT21" s="87">
        <f>'Key Business Variables'!$I10*'Key Business Variables'!$C18/12</f>
        <v>8333.3333333333339</v>
      </c>
      <c r="AU21" s="87">
        <f>'Key Business Variables'!$I10*'Key Business Variables'!$C18/12</f>
        <v>8333.3333333333339</v>
      </c>
      <c r="AV21" s="87">
        <f>'Key Business Variables'!$I10*'Key Business Variables'!$C18/12</f>
        <v>8333.3333333333339</v>
      </c>
      <c r="AW21" s="87">
        <f>'Key Business Variables'!$I10*'Key Business Variables'!$C18/12</f>
        <v>8333.3333333333339</v>
      </c>
      <c r="AX21" s="41"/>
      <c r="AY21" s="41"/>
    </row>
    <row r="22" spans="1:51" hidden="1" x14ac:dyDescent="0.3">
      <c r="A22" s="39" t="str">
        <f>'Key Business Variables'!B19</f>
        <v>Business Analyst</v>
      </c>
      <c r="B22" s="87">
        <f>'Key Business Variables'!$G11*'Key Business Variables'!$C19/12</f>
        <v>0</v>
      </c>
      <c r="C22" s="87">
        <f>'Key Business Variables'!$F11*'Key Business Variables'!$C19/12</f>
        <v>0</v>
      </c>
      <c r="D22" s="87">
        <f>'Key Business Variables'!$F11*'Key Business Variables'!$C19/12</f>
        <v>0</v>
      </c>
      <c r="E22" s="87">
        <f>'Key Business Variables'!$F11*'Key Business Variables'!$C19/12</f>
        <v>0</v>
      </c>
      <c r="F22" s="87">
        <f>'Key Business Variables'!$F11*'Key Business Variables'!$C19/12</f>
        <v>0</v>
      </c>
      <c r="G22" s="87">
        <f>'Key Business Variables'!$F11*'Key Business Variables'!$C19/12</f>
        <v>0</v>
      </c>
      <c r="H22" s="87">
        <f>'Key Business Variables'!$F11*'Key Business Variables'!$C19/12</f>
        <v>0</v>
      </c>
      <c r="I22" s="87">
        <f>'Key Business Variables'!$F11*'Key Business Variables'!$C19/12</f>
        <v>0</v>
      </c>
      <c r="J22" s="87">
        <f>'Key Business Variables'!$F11*'Key Business Variables'!$C19/12</f>
        <v>0</v>
      </c>
      <c r="K22" s="87">
        <f>'Key Business Variables'!$F11*'Key Business Variables'!$C19/12</f>
        <v>0</v>
      </c>
      <c r="L22" s="87">
        <f>'Key Business Variables'!$F11*'Key Business Variables'!$C19/12</f>
        <v>0</v>
      </c>
      <c r="M22" s="87">
        <f>'Key Business Variables'!$F11*'Key Business Variables'!$C19/12</f>
        <v>0</v>
      </c>
      <c r="N22" s="87">
        <f>'Key Business Variables'!$G11*'Key Business Variables'!$C19/12</f>
        <v>0</v>
      </c>
      <c r="O22" s="87">
        <f>'Key Business Variables'!$G11*'Key Business Variables'!$C19/12</f>
        <v>0</v>
      </c>
      <c r="P22" s="87">
        <f>'Key Business Variables'!$G11*'Key Business Variables'!$C19/12</f>
        <v>0</v>
      </c>
      <c r="Q22" s="87">
        <f>'Key Business Variables'!$G11*'Key Business Variables'!$C19/12</f>
        <v>0</v>
      </c>
      <c r="R22" s="87">
        <f>'Key Business Variables'!$G11*'Key Business Variables'!$C19/12</f>
        <v>0</v>
      </c>
      <c r="S22" s="87">
        <f>'Key Business Variables'!$G11*'Key Business Variables'!$C19/12</f>
        <v>0</v>
      </c>
      <c r="T22" s="87">
        <f>'Key Business Variables'!$G11*'Key Business Variables'!$C19/12</f>
        <v>0</v>
      </c>
      <c r="U22" s="87">
        <f>'Key Business Variables'!$G11*'Key Business Variables'!$C19/12</f>
        <v>0</v>
      </c>
      <c r="V22" s="87">
        <f>'Key Business Variables'!$G11*'Key Business Variables'!$C19/12</f>
        <v>0</v>
      </c>
      <c r="W22" s="87">
        <f>'Key Business Variables'!$G11*'Key Business Variables'!$C19/12</f>
        <v>0</v>
      </c>
      <c r="X22" s="87">
        <f>'Key Business Variables'!$G11*'Key Business Variables'!$C19/12</f>
        <v>0</v>
      </c>
      <c r="Y22" s="87">
        <f>'Key Business Variables'!$G11*'Key Business Variables'!$C19/12</f>
        <v>0</v>
      </c>
      <c r="Z22" s="87">
        <f>'Key Business Variables'!$H11*'Key Business Variables'!$C19/12</f>
        <v>0</v>
      </c>
      <c r="AA22" s="87">
        <f>'Key Business Variables'!$H11*'Key Business Variables'!$C19/12</f>
        <v>0</v>
      </c>
      <c r="AB22" s="87">
        <f>'Key Business Variables'!$H11*'Key Business Variables'!$C19/12</f>
        <v>0</v>
      </c>
      <c r="AC22" s="87">
        <f>'Key Business Variables'!$H11*'Key Business Variables'!$C19/12</f>
        <v>0</v>
      </c>
      <c r="AD22" s="87">
        <f>'Key Business Variables'!$H11*'Key Business Variables'!$C19/12</f>
        <v>0</v>
      </c>
      <c r="AE22" s="87">
        <f>'Key Business Variables'!$H11*'Key Business Variables'!$C19/12</f>
        <v>0</v>
      </c>
      <c r="AF22" s="87">
        <f>'Key Business Variables'!$H11*'Key Business Variables'!$C19/12</f>
        <v>0</v>
      </c>
      <c r="AG22" s="87">
        <f>'Key Business Variables'!$H11*'Key Business Variables'!$C19/12</f>
        <v>0</v>
      </c>
      <c r="AH22" s="87">
        <f>'Key Business Variables'!$H11*'Key Business Variables'!$C19/12</f>
        <v>0</v>
      </c>
      <c r="AI22" s="87">
        <f>'Key Business Variables'!$H11*'Key Business Variables'!$C19/12</f>
        <v>0</v>
      </c>
      <c r="AJ22" s="87">
        <f>'Key Business Variables'!$H11*'Key Business Variables'!$C19/12</f>
        <v>0</v>
      </c>
      <c r="AK22" s="87">
        <f>'Key Business Variables'!$H11*'Key Business Variables'!$C19/12</f>
        <v>0</v>
      </c>
      <c r="AL22" s="87">
        <f>'Key Business Variables'!$I11*'Key Business Variables'!$C19/12</f>
        <v>0</v>
      </c>
      <c r="AM22" s="87">
        <f>'Key Business Variables'!$I11*'Key Business Variables'!$C19/12</f>
        <v>0</v>
      </c>
      <c r="AN22" s="87">
        <f>'Key Business Variables'!$I11*'Key Business Variables'!$C19/12</f>
        <v>0</v>
      </c>
      <c r="AO22" s="87">
        <f>'Key Business Variables'!$I11*'Key Business Variables'!$C19/12</f>
        <v>0</v>
      </c>
      <c r="AP22" s="87">
        <f>'Key Business Variables'!$I11*'Key Business Variables'!$C19/12</f>
        <v>0</v>
      </c>
      <c r="AQ22" s="87">
        <f>'Key Business Variables'!$I11*'Key Business Variables'!$C19/12</f>
        <v>0</v>
      </c>
      <c r="AR22" s="87">
        <f>'Key Business Variables'!$I11*'Key Business Variables'!$C19/12</f>
        <v>0</v>
      </c>
      <c r="AS22" s="87">
        <f>'Key Business Variables'!$I11*'Key Business Variables'!$C19/12</f>
        <v>0</v>
      </c>
      <c r="AT22" s="87">
        <f>'Key Business Variables'!$I11*'Key Business Variables'!$C19/12</f>
        <v>0</v>
      </c>
      <c r="AU22" s="87">
        <f>'Key Business Variables'!$I11*'Key Business Variables'!$C19/12</f>
        <v>0</v>
      </c>
      <c r="AV22" s="87">
        <f>'Key Business Variables'!$I11*'Key Business Variables'!$C19/12</f>
        <v>0</v>
      </c>
      <c r="AW22" s="87">
        <f>'Key Business Variables'!$I11*'Key Business Variables'!$C19/12</f>
        <v>0</v>
      </c>
      <c r="AX22" s="41"/>
      <c r="AY22" s="41"/>
    </row>
    <row r="23" spans="1:51" hidden="1" x14ac:dyDescent="0.3">
      <c r="A23" s="39" t="str">
        <f>'Key Business Variables'!B20</f>
        <v>Manager</v>
      </c>
      <c r="B23" s="87">
        <f>'Key Business Variables'!$G12*'Key Business Variables'!$C20/12</f>
        <v>0</v>
      </c>
      <c r="C23" s="87">
        <f>'Key Business Variables'!$F12*'Key Business Variables'!$C20/12</f>
        <v>0</v>
      </c>
      <c r="D23" s="87">
        <f>'Key Business Variables'!$F12*'Key Business Variables'!$C20/12</f>
        <v>0</v>
      </c>
      <c r="E23" s="87">
        <f>'Key Business Variables'!$F12*'Key Business Variables'!$C20/12</f>
        <v>0</v>
      </c>
      <c r="F23" s="87">
        <f>'Key Business Variables'!$F12*'Key Business Variables'!$C20/12</f>
        <v>0</v>
      </c>
      <c r="G23" s="87">
        <f>'Key Business Variables'!$F12*'Key Business Variables'!$C20/12</f>
        <v>0</v>
      </c>
      <c r="H23" s="87">
        <f>'Key Business Variables'!$F12*'Key Business Variables'!$C20/12</f>
        <v>0</v>
      </c>
      <c r="I23" s="87">
        <f>'Key Business Variables'!$F12*'Key Business Variables'!$C20/12</f>
        <v>0</v>
      </c>
      <c r="J23" s="87">
        <f>'Key Business Variables'!$F12*'Key Business Variables'!$C20/12</f>
        <v>0</v>
      </c>
      <c r="K23" s="87">
        <f>'Key Business Variables'!$F12*'Key Business Variables'!$C20/12</f>
        <v>0</v>
      </c>
      <c r="L23" s="87">
        <f>'Key Business Variables'!$F12*'Key Business Variables'!$C20/12</f>
        <v>0</v>
      </c>
      <c r="M23" s="87">
        <f>'Key Business Variables'!$F12*'Key Business Variables'!$C20/12</f>
        <v>0</v>
      </c>
      <c r="N23" s="87">
        <f>'Key Business Variables'!$G12*'Key Business Variables'!$C20/12</f>
        <v>0</v>
      </c>
      <c r="O23" s="87">
        <f>'Key Business Variables'!$G12*'Key Business Variables'!$C20/12</f>
        <v>0</v>
      </c>
      <c r="P23" s="87">
        <f>'Key Business Variables'!$G12*'Key Business Variables'!$C20/12</f>
        <v>0</v>
      </c>
      <c r="Q23" s="87">
        <f>'Key Business Variables'!$G12*'Key Business Variables'!$C20/12</f>
        <v>0</v>
      </c>
      <c r="R23" s="87">
        <f>'Key Business Variables'!$G12*'Key Business Variables'!$C20/12</f>
        <v>0</v>
      </c>
      <c r="S23" s="87">
        <f>'Key Business Variables'!$G12*'Key Business Variables'!$C20/12</f>
        <v>0</v>
      </c>
      <c r="T23" s="87">
        <f>'Key Business Variables'!$G12*'Key Business Variables'!$C20/12</f>
        <v>0</v>
      </c>
      <c r="U23" s="87">
        <f>'Key Business Variables'!$G12*'Key Business Variables'!$C20/12</f>
        <v>0</v>
      </c>
      <c r="V23" s="87">
        <f>'Key Business Variables'!$G12*'Key Business Variables'!$C20/12</f>
        <v>0</v>
      </c>
      <c r="W23" s="87">
        <f>'Key Business Variables'!$G12*'Key Business Variables'!$C20/12</f>
        <v>0</v>
      </c>
      <c r="X23" s="87">
        <f>'Key Business Variables'!$G12*'Key Business Variables'!$C20/12</f>
        <v>0</v>
      </c>
      <c r="Y23" s="87">
        <f>'Key Business Variables'!$G12*'Key Business Variables'!$C20/12</f>
        <v>0</v>
      </c>
      <c r="Z23" s="87">
        <f>'Key Business Variables'!$H12*'Key Business Variables'!$C20/12</f>
        <v>0</v>
      </c>
      <c r="AA23" s="87">
        <f>'Key Business Variables'!$H12*'Key Business Variables'!$C20/12</f>
        <v>0</v>
      </c>
      <c r="AB23" s="87">
        <f>'Key Business Variables'!$H12*'Key Business Variables'!$C20/12</f>
        <v>0</v>
      </c>
      <c r="AC23" s="87">
        <f>'Key Business Variables'!$H12*'Key Business Variables'!$C20/12</f>
        <v>0</v>
      </c>
      <c r="AD23" s="87">
        <f>'Key Business Variables'!$H12*'Key Business Variables'!$C20/12</f>
        <v>0</v>
      </c>
      <c r="AE23" s="87">
        <f>'Key Business Variables'!$H12*'Key Business Variables'!$C20/12</f>
        <v>0</v>
      </c>
      <c r="AF23" s="87">
        <f>'Key Business Variables'!$H12*'Key Business Variables'!$C20/12</f>
        <v>0</v>
      </c>
      <c r="AG23" s="87">
        <f>'Key Business Variables'!$H12*'Key Business Variables'!$C20/12</f>
        <v>0</v>
      </c>
      <c r="AH23" s="87">
        <f>'Key Business Variables'!$H12*'Key Business Variables'!$C20/12</f>
        <v>0</v>
      </c>
      <c r="AI23" s="87">
        <f>'Key Business Variables'!$H12*'Key Business Variables'!$C20/12</f>
        <v>0</v>
      </c>
      <c r="AJ23" s="87">
        <f>'Key Business Variables'!$H12*'Key Business Variables'!$C20/12</f>
        <v>0</v>
      </c>
      <c r="AK23" s="87">
        <f>'Key Business Variables'!$H12*'Key Business Variables'!$C20/12</f>
        <v>0</v>
      </c>
      <c r="AL23" s="87">
        <f>'Key Business Variables'!$I12*'Key Business Variables'!$C20/12</f>
        <v>0</v>
      </c>
      <c r="AM23" s="87">
        <f>'Key Business Variables'!$I12*'Key Business Variables'!$C20/12</f>
        <v>0</v>
      </c>
      <c r="AN23" s="87">
        <f>'Key Business Variables'!$I12*'Key Business Variables'!$C20/12</f>
        <v>0</v>
      </c>
      <c r="AO23" s="87">
        <f>'Key Business Variables'!$I12*'Key Business Variables'!$C20/12</f>
        <v>0</v>
      </c>
      <c r="AP23" s="87">
        <f>'Key Business Variables'!$I12*'Key Business Variables'!$C20/12</f>
        <v>0</v>
      </c>
      <c r="AQ23" s="87">
        <f>'Key Business Variables'!$I12*'Key Business Variables'!$C20/12</f>
        <v>0</v>
      </c>
      <c r="AR23" s="87">
        <f>'Key Business Variables'!$I12*'Key Business Variables'!$C20/12</f>
        <v>0</v>
      </c>
      <c r="AS23" s="87">
        <f>'Key Business Variables'!$I12*'Key Business Variables'!$C20/12</f>
        <v>0</v>
      </c>
      <c r="AT23" s="87">
        <f>'Key Business Variables'!$I12*'Key Business Variables'!$C20/12</f>
        <v>0</v>
      </c>
      <c r="AU23" s="87">
        <f>'Key Business Variables'!$I12*'Key Business Variables'!$C20/12</f>
        <v>0</v>
      </c>
      <c r="AV23" s="87">
        <f>'Key Business Variables'!$I12*'Key Business Variables'!$C20/12</f>
        <v>0</v>
      </c>
      <c r="AW23" s="87">
        <f>'Key Business Variables'!$I12*'Key Business Variables'!$C20/12</f>
        <v>0</v>
      </c>
      <c r="AX23" s="41"/>
      <c r="AY23" s="41"/>
    </row>
    <row r="24" spans="1:51" hidden="1" x14ac:dyDescent="0.3">
      <c r="A24" s="39" t="str">
        <f>'Key Business Variables'!E15</f>
        <v>Sales &amp; Marketing</v>
      </c>
      <c r="B24" s="87">
        <f>'Key Business Variables'!$F15/12</f>
        <v>0</v>
      </c>
      <c r="C24" s="87">
        <f>'Key Business Variables'!$F15/12</f>
        <v>0</v>
      </c>
      <c r="D24" s="87">
        <f>'Key Business Variables'!$F15/12</f>
        <v>0</v>
      </c>
      <c r="E24" s="87">
        <f>'Key Business Variables'!$F15/12</f>
        <v>0</v>
      </c>
      <c r="F24" s="87">
        <f>'Key Business Variables'!$F15/12</f>
        <v>0</v>
      </c>
      <c r="G24" s="87">
        <f>'Key Business Variables'!$F15/12</f>
        <v>0</v>
      </c>
      <c r="H24" s="87">
        <f>'Key Business Variables'!$F15/12</f>
        <v>0</v>
      </c>
      <c r="I24" s="87">
        <f>'Key Business Variables'!$F15/12</f>
        <v>0</v>
      </c>
      <c r="J24" s="87">
        <f>'Key Business Variables'!$F15/12</f>
        <v>0</v>
      </c>
      <c r="K24" s="87">
        <f>'Key Business Variables'!$F15/12</f>
        <v>0</v>
      </c>
      <c r="L24" s="87">
        <f>'Key Business Variables'!$F15/12</f>
        <v>0</v>
      </c>
      <c r="M24" s="87">
        <f>'Key Business Variables'!$F15/12</f>
        <v>0</v>
      </c>
      <c r="N24" s="87">
        <f>'Key Business Variables'!$G15/12</f>
        <v>0</v>
      </c>
      <c r="O24" s="87">
        <f>'Key Business Variables'!$G15/12</f>
        <v>0</v>
      </c>
      <c r="P24" s="87">
        <f>'Key Business Variables'!$G15/12</f>
        <v>0</v>
      </c>
      <c r="Q24" s="87">
        <f>'Key Business Variables'!$G15/12</f>
        <v>0</v>
      </c>
      <c r="R24" s="87">
        <f>'Key Business Variables'!$G15/12</f>
        <v>0</v>
      </c>
      <c r="S24" s="87">
        <f>'Key Business Variables'!$G15/12</f>
        <v>0</v>
      </c>
      <c r="T24" s="87">
        <f>'Key Business Variables'!$G15/12</f>
        <v>0</v>
      </c>
      <c r="U24" s="87">
        <f>'Key Business Variables'!$G15/12</f>
        <v>0</v>
      </c>
      <c r="V24" s="87">
        <f>'Key Business Variables'!$G15/12</f>
        <v>0</v>
      </c>
      <c r="W24" s="87">
        <f>'Key Business Variables'!$G15/12</f>
        <v>0</v>
      </c>
      <c r="X24" s="87">
        <f>'Key Business Variables'!$G15/12</f>
        <v>0</v>
      </c>
      <c r="Y24" s="87">
        <f>'Key Business Variables'!$G15/12</f>
        <v>0</v>
      </c>
      <c r="Z24" s="87">
        <f>'Key Business Variables'!$H15/12</f>
        <v>0</v>
      </c>
      <c r="AA24" s="87">
        <f>'Key Business Variables'!$H15/12</f>
        <v>0</v>
      </c>
      <c r="AB24" s="87">
        <f>'Key Business Variables'!$H15/12</f>
        <v>0</v>
      </c>
      <c r="AC24" s="87">
        <f>'Key Business Variables'!$H15/12</f>
        <v>0</v>
      </c>
      <c r="AD24" s="87">
        <f>'Key Business Variables'!$H15/12</f>
        <v>0</v>
      </c>
      <c r="AE24" s="87">
        <f>'Key Business Variables'!$H15/12</f>
        <v>0</v>
      </c>
      <c r="AF24" s="87">
        <f>'Key Business Variables'!$H15/12</f>
        <v>0</v>
      </c>
      <c r="AG24" s="87">
        <f>'Key Business Variables'!$H15/12</f>
        <v>0</v>
      </c>
      <c r="AH24" s="87">
        <f>'Key Business Variables'!$H15/12</f>
        <v>0</v>
      </c>
      <c r="AI24" s="87">
        <f>'Key Business Variables'!$H15/12</f>
        <v>0</v>
      </c>
      <c r="AJ24" s="87">
        <f>'Key Business Variables'!$H15/12</f>
        <v>0</v>
      </c>
      <c r="AK24" s="87">
        <f>'Key Business Variables'!$H15/12</f>
        <v>0</v>
      </c>
      <c r="AL24" s="87">
        <f>'Key Business Variables'!$I15/12</f>
        <v>0</v>
      </c>
      <c r="AM24" s="87">
        <f>'Key Business Variables'!$I15/12</f>
        <v>0</v>
      </c>
      <c r="AN24" s="87">
        <f>'Key Business Variables'!$I15/12</f>
        <v>0</v>
      </c>
      <c r="AO24" s="87">
        <f>'Key Business Variables'!$I15/12</f>
        <v>0</v>
      </c>
      <c r="AP24" s="87">
        <f>'Key Business Variables'!$I15/12</f>
        <v>0</v>
      </c>
      <c r="AQ24" s="87">
        <f>'Key Business Variables'!$I15/12</f>
        <v>0</v>
      </c>
      <c r="AR24" s="87">
        <f>'Key Business Variables'!$I15/12</f>
        <v>0</v>
      </c>
      <c r="AS24" s="87">
        <f>'Key Business Variables'!$I15/12</f>
        <v>0</v>
      </c>
      <c r="AT24" s="87">
        <f>'Key Business Variables'!$I15/12</f>
        <v>0</v>
      </c>
      <c r="AU24" s="87">
        <f>'Key Business Variables'!$I15/12</f>
        <v>0</v>
      </c>
      <c r="AV24" s="87">
        <f>'Key Business Variables'!$I15/12</f>
        <v>0</v>
      </c>
      <c r="AW24" s="87">
        <f>'Key Business Variables'!$I15/12</f>
        <v>0</v>
      </c>
      <c r="AX24" s="41"/>
    </row>
    <row r="25" spans="1:51" s="42" customFormat="1" hidden="1" x14ac:dyDescent="0.3">
      <c r="A25" s="39" t="str">
        <f>'Key Business Variables'!E16</f>
        <v>Incremental R&amp;D, G&amp;A, Other</v>
      </c>
      <c r="B25" s="87">
        <f>'Key Business Variables'!$F16/12</f>
        <v>0</v>
      </c>
      <c r="C25" s="87">
        <f>'Key Business Variables'!$F16/12</f>
        <v>0</v>
      </c>
      <c r="D25" s="87">
        <f>'Key Business Variables'!$F16/12</f>
        <v>0</v>
      </c>
      <c r="E25" s="87">
        <f>'Key Business Variables'!$F16/12</f>
        <v>0</v>
      </c>
      <c r="F25" s="87">
        <f>'Key Business Variables'!$F16/12</f>
        <v>0</v>
      </c>
      <c r="G25" s="87">
        <f>'Key Business Variables'!$F16/12</f>
        <v>0</v>
      </c>
      <c r="H25" s="87">
        <f>'Key Business Variables'!$F16/12</f>
        <v>0</v>
      </c>
      <c r="I25" s="87">
        <f>'Key Business Variables'!$F16/12</f>
        <v>0</v>
      </c>
      <c r="J25" s="87">
        <f>'Key Business Variables'!$F16/12</f>
        <v>0</v>
      </c>
      <c r="K25" s="87">
        <f>'Key Business Variables'!$F16/12</f>
        <v>0</v>
      </c>
      <c r="L25" s="87">
        <f>'Key Business Variables'!$F16/12</f>
        <v>0</v>
      </c>
      <c r="M25" s="87">
        <f>'Key Business Variables'!$F16/12</f>
        <v>0</v>
      </c>
      <c r="N25" s="87">
        <f>'Key Business Variables'!$G16/12</f>
        <v>0</v>
      </c>
      <c r="O25" s="87">
        <f>'Key Business Variables'!$G16/12</f>
        <v>0</v>
      </c>
      <c r="P25" s="87">
        <f>'Key Business Variables'!$G16/12</f>
        <v>0</v>
      </c>
      <c r="Q25" s="87">
        <f>'Key Business Variables'!$G16/12</f>
        <v>0</v>
      </c>
      <c r="R25" s="87">
        <f>'Key Business Variables'!$G16/12</f>
        <v>0</v>
      </c>
      <c r="S25" s="87">
        <f>'Key Business Variables'!$G16/12</f>
        <v>0</v>
      </c>
      <c r="T25" s="87">
        <f>'Key Business Variables'!$G16/12</f>
        <v>0</v>
      </c>
      <c r="U25" s="87">
        <f>'Key Business Variables'!$G16/12</f>
        <v>0</v>
      </c>
      <c r="V25" s="87">
        <f>'Key Business Variables'!$G16/12</f>
        <v>0</v>
      </c>
      <c r="W25" s="87">
        <f>'Key Business Variables'!$G16/12</f>
        <v>0</v>
      </c>
      <c r="X25" s="87">
        <f>'Key Business Variables'!$G16/12</f>
        <v>0</v>
      </c>
      <c r="Y25" s="87">
        <f>'Key Business Variables'!$G16/12</f>
        <v>0</v>
      </c>
      <c r="Z25" s="87">
        <f>'Key Business Variables'!$H16/12</f>
        <v>0</v>
      </c>
      <c r="AA25" s="87">
        <f>'Key Business Variables'!$H16/12</f>
        <v>0</v>
      </c>
      <c r="AB25" s="87">
        <f>'Key Business Variables'!$H16/12</f>
        <v>0</v>
      </c>
      <c r="AC25" s="87">
        <f>'Key Business Variables'!$H16/12</f>
        <v>0</v>
      </c>
      <c r="AD25" s="87">
        <f>'Key Business Variables'!$H16/12</f>
        <v>0</v>
      </c>
      <c r="AE25" s="87">
        <f>'Key Business Variables'!$H16/12</f>
        <v>0</v>
      </c>
      <c r="AF25" s="87">
        <f>'Key Business Variables'!$H16/12</f>
        <v>0</v>
      </c>
      <c r="AG25" s="87">
        <f>'Key Business Variables'!$H16/12</f>
        <v>0</v>
      </c>
      <c r="AH25" s="87">
        <f>'Key Business Variables'!$H16/12</f>
        <v>0</v>
      </c>
      <c r="AI25" s="87">
        <f>'Key Business Variables'!$H16/12</f>
        <v>0</v>
      </c>
      <c r="AJ25" s="87">
        <f>'Key Business Variables'!$H16/12</f>
        <v>0</v>
      </c>
      <c r="AK25" s="87">
        <f>'Key Business Variables'!$H16/12</f>
        <v>0</v>
      </c>
      <c r="AL25" s="87">
        <f>'Key Business Variables'!$I16/12</f>
        <v>0</v>
      </c>
      <c r="AM25" s="87">
        <f>'Key Business Variables'!$I16/12</f>
        <v>0</v>
      </c>
      <c r="AN25" s="87">
        <f>'Key Business Variables'!$I16/12</f>
        <v>0</v>
      </c>
      <c r="AO25" s="87">
        <f>'Key Business Variables'!$I16/12</f>
        <v>0</v>
      </c>
      <c r="AP25" s="87">
        <f>'Key Business Variables'!$I16/12</f>
        <v>0</v>
      </c>
      <c r="AQ25" s="87">
        <f>'Key Business Variables'!$I16/12</f>
        <v>0</v>
      </c>
      <c r="AR25" s="87">
        <f>'Key Business Variables'!$I16/12</f>
        <v>0</v>
      </c>
      <c r="AS25" s="87">
        <f>'Key Business Variables'!$I16/12</f>
        <v>0</v>
      </c>
      <c r="AT25" s="87">
        <f>'Key Business Variables'!$I16/12</f>
        <v>0</v>
      </c>
      <c r="AU25" s="87">
        <f>'Key Business Variables'!$I16/12</f>
        <v>0</v>
      </c>
      <c r="AV25" s="87">
        <f>'Key Business Variables'!$I16/12</f>
        <v>0</v>
      </c>
      <c r="AW25" s="87">
        <f>'Key Business Variables'!$I16/12</f>
        <v>0</v>
      </c>
      <c r="AX25" s="41"/>
    </row>
    <row r="26" spans="1:51" hidden="1" x14ac:dyDescent="0.3"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</row>
    <row r="27" spans="1:51" hidden="1" x14ac:dyDescent="0.3">
      <c r="A27" s="38" t="s">
        <v>32</v>
      </c>
      <c r="B27" s="68">
        <f>SUM(B13:B16)-SUM(B19:B25)</f>
        <v>-4441.1111111111113</v>
      </c>
      <c r="C27" s="68">
        <f t="shared" ref="C27:AW27" si="1">SUM(C13:C16)-SUM(C19:C25)</f>
        <v>284.44444444444343</v>
      </c>
      <c r="D27" s="68">
        <f t="shared" si="1"/>
        <v>843.33333333333212</v>
      </c>
      <c r="E27" s="68">
        <f t="shared" si="1"/>
        <v>1402.2222222222208</v>
      </c>
      <c r="F27" s="68">
        <f t="shared" si="1"/>
        <v>1961.1111111111113</v>
      </c>
      <c r="G27" s="68">
        <f t="shared" si="1"/>
        <v>2520</v>
      </c>
      <c r="H27" s="68">
        <f t="shared" si="1"/>
        <v>3078.8888888888869</v>
      </c>
      <c r="I27" s="68">
        <f t="shared" si="1"/>
        <v>3637.7777777777774</v>
      </c>
      <c r="J27" s="68">
        <f t="shared" si="1"/>
        <v>4196.6666666666679</v>
      </c>
      <c r="K27" s="68">
        <f t="shared" si="1"/>
        <v>4755.5555555555547</v>
      </c>
      <c r="L27" s="68">
        <f t="shared" si="1"/>
        <v>5314.4444444444416</v>
      </c>
      <c r="M27" s="68">
        <f t="shared" si="1"/>
        <v>5873.3333333333321</v>
      </c>
      <c r="N27" s="68">
        <f t="shared" si="1"/>
        <v>2265.5555555555547</v>
      </c>
      <c r="O27" s="68">
        <f t="shared" si="1"/>
        <v>2796.5</v>
      </c>
      <c r="P27" s="68">
        <f t="shared" si="1"/>
        <v>3327.4444444444453</v>
      </c>
      <c r="Q27" s="68">
        <f t="shared" si="1"/>
        <v>3858.3888888888869</v>
      </c>
      <c r="R27" s="68">
        <f t="shared" si="1"/>
        <v>4389.3333333333358</v>
      </c>
      <c r="S27" s="68">
        <f t="shared" si="1"/>
        <v>4920.277777777781</v>
      </c>
      <c r="T27" s="68">
        <f t="shared" si="1"/>
        <v>5451.2222222222263</v>
      </c>
      <c r="U27" s="68">
        <f t="shared" si="1"/>
        <v>5982.1666666666715</v>
      </c>
      <c r="V27" s="68">
        <f t="shared" si="1"/>
        <v>6513.1111111111168</v>
      </c>
      <c r="W27" s="68">
        <f t="shared" si="1"/>
        <v>7044.0555555555547</v>
      </c>
      <c r="X27" s="68">
        <f t="shared" si="1"/>
        <v>7575</v>
      </c>
      <c r="Y27" s="68">
        <f t="shared" si="1"/>
        <v>8105.9444444444453</v>
      </c>
      <c r="Z27" s="68">
        <f t="shared" si="1"/>
        <v>13083</v>
      </c>
      <c r="AA27" s="68">
        <f t="shared" si="1"/>
        <v>13893.388888888891</v>
      </c>
      <c r="AB27" s="68">
        <f t="shared" si="1"/>
        <v>14703.777777777774</v>
      </c>
      <c r="AC27" s="68">
        <f t="shared" si="1"/>
        <v>15514.166666666664</v>
      </c>
      <c r="AD27" s="68">
        <f t="shared" si="1"/>
        <v>16324.555555555555</v>
      </c>
      <c r="AE27" s="68">
        <f t="shared" si="1"/>
        <v>17134.944444444445</v>
      </c>
      <c r="AF27" s="68">
        <f t="shared" si="1"/>
        <v>17945.333333333328</v>
      </c>
      <c r="AG27" s="68">
        <f t="shared" si="1"/>
        <v>18755.722222222219</v>
      </c>
      <c r="AH27" s="68">
        <f t="shared" si="1"/>
        <v>19566.111111111102</v>
      </c>
      <c r="AI27" s="68">
        <f t="shared" si="1"/>
        <v>20376.499999999993</v>
      </c>
      <c r="AJ27" s="68">
        <f t="shared" si="1"/>
        <v>21186.888888888876</v>
      </c>
      <c r="AK27" s="68">
        <f t="shared" si="1"/>
        <v>21997.277777777766</v>
      </c>
      <c r="AL27" s="68">
        <f t="shared" si="1"/>
        <v>27253.777777777766</v>
      </c>
      <c r="AM27" s="68">
        <f t="shared" si="1"/>
        <v>28329.638888888891</v>
      </c>
      <c r="AN27" s="68">
        <f t="shared" si="1"/>
        <v>29405.499999999993</v>
      </c>
      <c r="AO27" s="68">
        <f t="shared" si="1"/>
        <v>30481.361111111095</v>
      </c>
      <c r="AP27" s="68">
        <f t="shared" si="1"/>
        <v>31557.222222222219</v>
      </c>
      <c r="AQ27" s="68">
        <f t="shared" si="1"/>
        <v>32633.083333333314</v>
      </c>
      <c r="AR27" s="68">
        <f t="shared" si="1"/>
        <v>33708.944444444438</v>
      </c>
      <c r="AS27" s="68">
        <f t="shared" si="1"/>
        <v>34784.80555555554</v>
      </c>
      <c r="AT27" s="68">
        <f t="shared" si="1"/>
        <v>35860.666666666657</v>
      </c>
      <c r="AU27" s="68">
        <f t="shared" si="1"/>
        <v>36936.527777777766</v>
      </c>
      <c r="AV27" s="68">
        <f t="shared" si="1"/>
        <v>38012.388888888876</v>
      </c>
      <c r="AW27" s="68">
        <f t="shared" si="1"/>
        <v>39088.249999999985</v>
      </c>
    </row>
    <row r="28" spans="1:51" hidden="1" x14ac:dyDescent="0.3">
      <c r="A28" s="38" t="s">
        <v>13</v>
      </c>
      <c r="B28" s="68">
        <f>B27</f>
        <v>-4441.1111111111113</v>
      </c>
      <c r="C28" s="68">
        <f>B28+C27</f>
        <v>-4156.6666666666679</v>
      </c>
      <c r="D28" s="68">
        <f t="shared" ref="D28:AW28" si="2">C28+D27</f>
        <v>-3313.3333333333358</v>
      </c>
      <c r="E28" s="68">
        <f t="shared" si="2"/>
        <v>-1911.111111111115</v>
      </c>
      <c r="F28" s="68">
        <f t="shared" si="2"/>
        <v>49.999999999996362</v>
      </c>
      <c r="G28" s="68">
        <f t="shared" si="2"/>
        <v>2569.9999999999964</v>
      </c>
      <c r="H28" s="68">
        <f t="shared" si="2"/>
        <v>5648.8888888888832</v>
      </c>
      <c r="I28" s="68">
        <f t="shared" si="2"/>
        <v>9286.6666666666606</v>
      </c>
      <c r="J28" s="68">
        <f t="shared" si="2"/>
        <v>13483.333333333328</v>
      </c>
      <c r="K28" s="68">
        <f t="shared" si="2"/>
        <v>18238.888888888883</v>
      </c>
      <c r="L28" s="68">
        <f t="shared" si="2"/>
        <v>23553.333333333325</v>
      </c>
      <c r="M28" s="68">
        <f t="shared" si="2"/>
        <v>29426.666666666657</v>
      </c>
      <c r="N28" s="68">
        <f t="shared" si="2"/>
        <v>31692.222222222212</v>
      </c>
      <c r="O28" s="68">
        <f t="shared" si="2"/>
        <v>34488.722222222212</v>
      </c>
      <c r="P28" s="68">
        <f t="shared" si="2"/>
        <v>37816.166666666657</v>
      </c>
      <c r="Q28" s="68">
        <f t="shared" si="2"/>
        <v>41674.555555555547</v>
      </c>
      <c r="R28" s="68">
        <f t="shared" si="2"/>
        <v>46063.888888888883</v>
      </c>
      <c r="S28" s="68">
        <f t="shared" si="2"/>
        <v>50984.166666666664</v>
      </c>
      <c r="T28" s="68">
        <f t="shared" si="2"/>
        <v>56435.388888888891</v>
      </c>
      <c r="U28" s="68">
        <f t="shared" si="2"/>
        <v>62417.555555555562</v>
      </c>
      <c r="V28" s="68">
        <f t="shared" si="2"/>
        <v>68930.666666666686</v>
      </c>
      <c r="W28" s="68">
        <f t="shared" si="2"/>
        <v>75974.722222222248</v>
      </c>
      <c r="X28" s="68">
        <f t="shared" si="2"/>
        <v>83549.722222222248</v>
      </c>
      <c r="Y28" s="68">
        <f t="shared" si="2"/>
        <v>91655.666666666686</v>
      </c>
      <c r="Z28" s="68">
        <f t="shared" si="2"/>
        <v>104738.66666666669</v>
      </c>
      <c r="AA28" s="68">
        <f t="shared" si="2"/>
        <v>118632.05555555558</v>
      </c>
      <c r="AB28" s="68">
        <f t="shared" si="2"/>
        <v>133335.83333333334</v>
      </c>
      <c r="AC28" s="68">
        <f t="shared" si="2"/>
        <v>148850</v>
      </c>
      <c r="AD28" s="68">
        <f t="shared" si="2"/>
        <v>165174.55555555556</v>
      </c>
      <c r="AE28" s="68">
        <f t="shared" si="2"/>
        <v>182309.5</v>
      </c>
      <c r="AF28" s="68">
        <f t="shared" si="2"/>
        <v>200254.83333333331</v>
      </c>
      <c r="AG28" s="68">
        <f t="shared" si="2"/>
        <v>219010.55555555553</v>
      </c>
      <c r="AH28" s="68">
        <f t="shared" si="2"/>
        <v>238576.66666666663</v>
      </c>
      <c r="AI28" s="68">
        <f t="shared" si="2"/>
        <v>258953.16666666663</v>
      </c>
      <c r="AJ28" s="68">
        <f t="shared" si="2"/>
        <v>280140.0555555555</v>
      </c>
      <c r="AK28" s="68">
        <f t="shared" si="2"/>
        <v>302137.33333333326</v>
      </c>
      <c r="AL28" s="68">
        <f t="shared" si="2"/>
        <v>329391.11111111101</v>
      </c>
      <c r="AM28" s="68">
        <f t="shared" si="2"/>
        <v>357720.74999999988</v>
      </c>
      <c r="AN28" s="68">
        <f t="shared" si="2"/>
        <v>387126.24999999988</v>
      </c>
      <c r="AO28" s="68">
        <f t="shared" si="2"/>
        <v>417607.61111111101</v>
      </c>
      <c r="AP28" s="68">
        <f t="shared" si="2"/>
        <v>449164.83333333326</v>
      </c>
      <c r="AQ28" s="68">
        <f t="shared" si="2"/>
        <v>481797.91666666657</v>
      </c>
      <c r="AR28" s="68">
        <f t="shared" si="2"/>
        <v>515506.86111111101</v>
      </c>
      <c r="AS28" s="68">
        <f t="shared" si="2"/>
        <v>550291.66666666651</v>
      </c>
      <c r="AT28" s="68">
        <f t="shared" si="2"/>
        <v>586152.33333333314</v>
      </c>
      <c r="AU28" s="68">
        <f t="shared" si="2"/>
        <v>623088.86111111089</v>
      </c>
      <c r="AV28" s="68">
        <f t="shared" si="2"/>
        <v>661101.24999999977</v>
      </c>
      <c r="AW28" s="68">
        <f t="shared" si="2"/>
        <v>700189.49999999977</v>
      </c>
    </row>
    <row r="29" spans="1:51" hidden="1" x14ac:dyDescent="0.3">
      <c r="A29" s="38" t="s">
        <v>77</v>
      </c>
      <c r="B29" s="118">
        <f>MIN(B28:AW28)</f>
        <v>-4441.1111111111113</v>
      </c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</row>
    <row r="30" spans="1:51" hidden="1" x14ac:dyDescent="0.3"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</row>
    <row r="31" spans="1:51" hidden="1" x14ac:dyDescent="0.3">
      <c r="A31" s="43" t="s">
        <v>10</v>
      </c>
      <c r="B31" s="112">
        <v>1</v>
      </c>
      <c r="C31" s="112">
        <v>2</v>
      </c>
      <c r="D31" s="112">
        <v>3</v>
      </c>
      <c r="E31" s="112">
        <v>4</v>
      </c>
      <c r="F31" s="112" t="s">
        <v>71</v>
      </c>
      <c r="G31" s="68"/>
      <c r="H31" s="68"/>
      <c r="J31" s="71"/>
      <c r="K31" s="70"/>
      <c r="L31" s="71"/>
      <c r="M31" s="71"/>
      <c r="N31" s="71"/>
      <c r="O31" s="113"/>
      <c r="P31" s="113"/>
      <c r="Q31" s="113"/>
      <c r="R31" s="113"/>
      <c r="S31" s="113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</row>
    <row r="32" spans="1:51" hidden="1" x14ac:dyDescent="0.3">
      <c r="A32" s="44" t="str">
        <f>A12</f>
        <v>Revenue</v>
      </c>
      <c r="J32" s="113"/>
      <c r="K32" s="70"/>
      <c r="L32" s="70"/>
      <c r="M32" s="70"/>
      <c r="N32" s="70"/>
      <c r="O32" s="70"/>
      <c r="P32" s="70"/>
      <c r="Q32" s="70"/>
      <c r="R32" s="70"/>
      <c r="S32" s="71"/>
    </row>
    <row r="33" spans="1:19" hidden="1" x14ac:dyDescent="0.3">
      <c r="A33" s="40" t="str">
        <f t="shared" ref="A33:A45" si="3">A13</f>
        <v>Initial Project Fees</v>
      </c>
      <c r="B33" s="68">
        <f>SUM(B13:M13)</f>
        <v>99999.999999999985</v>
      </c>
      <c r="C33" s="68">
        <f>SUM(N13:Y13)</f>
        <v>99999.999999999985</v>
      </c>
      <c r="D33" s="68">
        <f>SUM(Z13:AK13)</f>
        <v>150000</v>
      </c>
      <c r="E33" s="68">
        <f>SUM(AL13:AW13)</f>
        <v>199999.99999999997</v>
      </c>
      <c r="F33" s="68">
        <f>SUM(B33:E33)</f>
        <v>550000</v>
      </c>
      <c r="G33" s="68"/>
      <c r="I33" s="68"/>
      <c r="Q33" s="72"/>
      <c r="R33" s="72"/>
      <c r="S33" s="71"/>
    </row>
    <row r="34" spans="1:19" hidden="1" x14ac:dyDescent="0.3">
      <c r="A34" s="40" t="str">
        <f t="shared" si="3"/>
        <v>Ongoing Support Fees</v>
      </c>
      <c r="B34" s="68">
        <f t="shared" ref="B34:B45" si="4">SUM(B14:M14)</f>
        <v>10833.333333333332</v>
      </c>
      <c r="C34" s="68">
        <f t="shared" ref="C34:C45" si="5">SUM(N14:Y14)</f>
        <v>30375.000000000007</v>
      </c>
      <c r="D34" s="68">
        <f t="shared" ref="D34:D45" si="6">SUM(Z14:AK14)</f>
        <v>54791.66666666665</v>
      </c>
      <c r="E34" s="68">
        <f t="shared" ref="E34:E45" si="7">SUM(AL14:AW14)</f>
        <v>88979.166666666613</v>
      </c>
      <c r="F34" s="68">
        <f>SUM(B34:E34)</f>
        <v>184979.16666666663</v>
      </c>
      <c r="H34" s="68"/>
      <c r="I34" s="68"/>
      <c r="Q34" s="72"/>
      <c r="R34" s="72"/>
      <c r="S34" s="71"/>
    </row>
    <row r="35" spans="1:19" hidden="1" x14ac:dyDescent="0.3">
      <c r="A35" s="40" t="str">
        <f t="shared" si="3"/>
        <v>Power App Subscription Fees</v>
      </c>
      <c r="B35" s="68">
        <f t="shared" si="4"/>
        <v>93600</v>
      </c>
      <c r="C35" s="68">
        <f t="shared" si="5"/>
        <v>262440.00000000006</v>
      </c>
      <c r="D35" s="68">
        <f t="shared" si="6"/>
        <v>473399.99999999994</v>
      </c>
      <c r="E35" s="68">
        <f t="shared" si="7"/>
        <v>768779.99999999977</v>
      </c>
      <c r="F35" s="68">
        <f t="shared" ref="F35:F45" si="8">SUM(B35:E35)</f>
        <v>1598219.9999999998</v>
      </c>
      <c r="H35" s="68"/>
      <c r="I35" s="68"/>
      <c r="Q35" s="73"/>
      <c r="R35" s="73"/>
      <c r="S35" s="73"/>
    </row>
    <row r="36" spans="1:19" hidden="1" x14ac:dyDescent="0.3">
      <c r="A36" s="40" t="str">
        <f t="shared" si="3"/>
        <v>Partner IP Subscription Fees</v>
      </c>
      <c r="B36" s="68">
        <f t="shared" si="4"/>
        <v>9360</v>
      </c>
      <c r="C36" s="68">
        <f t="shared" si="5"/>
        <v>26244.000000000007</v>
      </c>
      <c r="D36" s="68">
        <f t="shared" si="6"/>
        <v>47339.999999999993</v>
      </c>
      <c r="E36" s="68">
        <f t="shared" si="7"/>
        <v>76877.999999999956</v>
      </c>
      <c r="F36" s="68">
        <f t="shared" si="8"/>
        <v>159821.99999999994</v>
      </c>
      <c r="H36" s="68"/>
      <c r="I36" s="68"/>
      <c r="Q36" s="73"/>
      <c r="R36" s="73"/>
      <c r="S36" s="73"/>
    </row>
    <row r="37" spans="1:19" hidden="1" x14ac:dyDescent="0.3">
      <c r="A37" s="40">
        <f t="shared" si="3"/>
        <v>0</v>
      </c>
      <c r="B37" s="68"/>
      <c r="C37" s="68"/>
      <c r="D37" s="68"/>
      <c r="E37" s="68"/>
      <c r="F37" s="68"/>
      <c r="G37" s="68"/>
      <c r="Q37" s="74"/>
      <c r="R37" s="74"/>
      <c r="S37" s="71"/>
    </row>
    <row r="38" spans="1:19" hidden="1" x14ac:dyDescent="0.3">
      <c r="A38" s="44" t="str">
        <f t="shared" si="3"/>
        <v>Costs</v>
      </c>
      <c r="B38" s="68"/>
      <c r="C38" s="68"/>
      <c r="D38" s="68"/>
      <c r="E38" s="68"/>
      <c r="F38" s="68"/>
      <c r="G38" s="68"/>
      <c r="H38" s="68"/>
      <c r="Q38" s="75"/>
      <c r="R38" s="75"/>
      <c r="S38" s="75"/>
    </row>
    <row r="39" spans="1:19" hidden="1" x14ac:dyDescent="0.3">
      <c r="A39" s="40" t="str">
        <f t="shared" si="3"/>
        <v>Power App Subscription Fees</v>
      </c>
      <c r="B39" s="68">
        <f t="shared" si="4"/>
        <v>70200</v>
      </c>
      <c r="C39" s="68">
        <f t="shared" si="5"/>
        <v>196830.00000000003</v>
      </c>
      <c r="D39" s="68">
        <f t="shared" si="6"/>
        <v>355049.99999999994</v>
      </c>
      <c r="E39" s="68">
        <f t="shared" si="7"/>
        <v>576584.99999999977</v>
      </c>
      <c r="F39" s="68">
        <f t="shared" si="8"/>
        <v>1198664.9999999998</v>
      </c>
      <c r="G39" s="68"/>
      <c r="H39" s="68"/>
      <c r="Q39" s="72"/>
      <c r="R39" s="72"/>
      <c r="S39" s="72"/>
    </row>
    <row r="40" spans="1:19" hidden="1" x14ac:dyDescent="0.3">
      <c r="A40" s="40" t="str">
        <f t="shared" si="3"/>
        <v>Architect</v>
      </c>
      <c r="B40" s="68">
        <f t="shared" si="4"/>
        <v>60000</v>
      </c>
      <c r="C40" s="68">
        <f t="shared" si="5"/>
        <v>60000</v>
      </c>
      <c r="D40" s="68">
        <f t="shared" si="6"/>
        <v>60000</v>
      </c>
      <c r="E40" s="68">
        <f t="shared" si="7"/>
        <v>60000</v>
      </c>
      <c r="F40" s="68">
        <f t="shared" si="8"/>
        <v>240000</v>
      </c>
      <c r="G40" s="68"/>
      <c r="H40" s="68"/>
      <c r="Q40" s="71"/>
      <c r="R40" s="71"/>
      <c r="S40" s="73"/>
    </row>
    <row r="41" spans="1:19" hidden="1" x14ac:dyDescent="0.3">
      <c r="A41" s="40" t="str">
        <f t="shared" si="3"/>
        <v>Developer</v>
      </c>
      <c r="B41" s="68">
        <f t="shared" si="4"/>
        <v>54166.666666666657</v>
      </c>
      <c r="C41" s="68">
        <f t="shared" si="5"/>
        <v>99999.999999999985</v>
      </c>
      <c r="D41" s="68">
        <f t="shared" si="6"/>
        <v>99999.999999999985</v>
      </c>
      <c r="E41" s="68">
        <f t="shared" si="7"/>
        <v>99999.999999999985</v>
      </c>
      <c r="F41" s="68">
        <f t="shared" si="8"/>
        <v>354166.66666666663</v>
      </c>
      <c r="G41" s="68"/>
      <c r="H41" s="68"/>
      <c r="Q41" s="75"/>
      <c r="R41" s="75"/>
      <c r="S41" s="75"/>
    </row>
    <row r="42" spans="1:19" hidden="1" x14ac:dyDescent="0.3">
      <c r="A42" s="40" t="str">
        <f t="shared" si="3"/>
        <v>Business Analyst</v>
      </c>
      <c r="B42" s="68">
        <f t="shared" si="4"/>
        <v>0</v>
      </c>
      <c r="C42" s="68">
        <f t="shared" si="5"/>
        <v>0</v>
      </c>
      <c r="D42" s="68">
        <f t="shared" si="6"/>
        <v>0</v>
      </c>
      <c r="E42" s="68">
        <f t="shared" si="7"/>
        <v>0</v>
      </c>
      <c r="F42" s="68">
        <f t="shared" si="8"/>
        <v>0</v>
      </c>
      <c r="H42" s="68"/>
      <c r="Q42" s="71"/>
      <c r="R42" s="71"/>
      <c r="S42" s="71"/>
    </row>
    <row r="43" spans="1:19" hidden="1" x14ac:dyDescent="0.3">
      <c r="A43" s="40" t="str">
        <f t="shared" si="3"/>
        <v>Manager</v>
      </c>
      <c r="B43" s="68">
        <f t="shared" si="4"/>
        <v>0</v>
      </c>
      <c r="C43" s="68">
        <f t="shared" si="5"/>
        <v>0</v>
      </c>
      <c r="D43" s="68">
        <f t="shared" si="6"/>
        <v>0</v>
      </c>
      <c r="E43" s="68">
        <f t="shared" si="7"/>
        <v>0</v>
      </c>
      <c r="F43" s="68">
        <f t="shared" si="8"/>
        <v>0</v>
      </c>
      <c r="H43" s="68"/>
      <c r="I43" s="68"/>
      <c r="K43" s="99" t="s">
        <v>29</v>
      </c>
      <c r="L43" s="99"/>
      <c r="M43" s="178" t="s">
        <v>30</v>
      </c>
      <c r="N43" s="178"/>
      <c r="O43" s="178"/>
      <c r="P43" s="178"/>
    </row>
    <row r="44" spans="1:19" hidden="1" x14ac:dyDescent="0.3">
      <c r="A44" s="40" t="str">
        <f t="shared" si="3"/>
        <v>Sales &amp; Marketing</v>
      </c>
      <c r="B44" s="68">
        <f t="shared" si="4"/>
        <v>0</v>
      </c>
      <c r="C44" s="68">
        <f t="shared" si="5"/>
        <v>0</v>
      </c>
      <c r="D44" s="68">
        <f t="shared" si="6"/>
        <v>0</v>
      </c>
      <c r="E44" s="68">
        <f t="shared" si="7"/>
        <v>0</v>
      </c>
      <c r="F44" s="68">
        <f t="shared" si="8"/>
        <v>0</v>
      </c>
      <c r="G44" s="68"/>
      <c r="K44" s="45" t="s">
        <v>18</v>
      </c>
      <c r="L44" s="45" t="s">
        <v>19</v>
      </c>
      <c r="M44" s="45" t="s">
        <v>18</v>
      </c>
      <c r="N44" s="45" t="s">
        <v>23</v>
      </c>
      <c r="O44" s="45" t="s">
        <v>24</v>
      </c>
      <c r="P44" s="45" t="s">
        <v>25</v>
      </c>
    </row>
    <row r="45" spans="1:19" hidden="1" x14ac:dyDescent="0.3">
      <c r="A45" s="40" t="str">
        <f t="shared" si="3"/>
        <v>Incremental R&amp;D, G&amp;A, Other</v>
      </c>
      <c r="B45" s="68">
        <f t="shared" si="4"/>
        <v>0</v>
      </c>
      <c r="C45" s="68">
        <f t="shared" si="5"/>
        <v>0</v>
      </c>
      <c r="D45" s="68">
        <f t="shared" si="6"/>
        <v>0</v>
      </c>
      <c r="E45" s="68">
        <f t="shared" si="7"/>
        <v>0</v>
      </c>
      <c r="F45" s="68">
        <f t="shared" si="8"/>
        <v>0</v>
      </c>
      <c r="J45" s="45" t="s">
        <v>38</v>
      </c>
      <c r="K45" s="65" t="e">
        <f>#REF!*12</f>
        <v>#REF!</v>
      </c>
      <c r="L45" s="65" t="e">
        <f>K45</f>
        <v>#REF!</v>
      </c>
      <c r="M45" s="65" t="e">
        <f>K45*'P&amp;L Impact'!#REF!</f>
        <v>#REF!</v>
      </c>
      <c r="N45" s="65" t="e">
        <f>M45</f>
        <v>#REF!</v>
      </c>
      <c r="O45" s="65" t="e">
        <f>N45</f>
        <v>#REF!</v>
      </c>
      <c r="P45" s="65" t="e">
        <f>O45</f>
        <v>#REF!</v>
      </c>
    </row>
    <row r="46" spans="1:19" hidden="1" x14ac:dyDescent="0.3">
      <c r="A46" s="40"/>
      <c r="B46" s="95"/>
      <c r="C46" s="95"/>
      <c r="D46" s="95"/>
      <c r="E46" s="95"/>
      <c r="F46" s="114"/>
      <c r="G46" s="68"/>
    </row>
    <row r="47" spans="1:19" hidden="1" x14ac:dyDescent="0.3">
      <c r="A47" s="40"/>
      <c r="B47" s="95"/>
      <c r="C47" s="95"/>
      <c r="D47" s="95"/>
      <c r="E47" s="95"/>
      <c r="F47" s="114"/>
      <c r="G47" s="68"/>
      <c r="J47" s="45" t="s">
        <v>46</v>
      </c>
      <c r="K47" s="66">
        <f>'Key Business Variables'!C11</f>
        <v>10000</v>
      </c>
      <c r="L47" s="66">
        <f>'Key Business Variables'!C12</f>
        <v>2500</v>
      </c>
      <c r="M47" s="65" t="e">
        <f>K47*J55</f>
        <v>#DIV/0!</v>
      </c>
      <c r="N47" s="65" t="e">
        <f>L47*J56</f>
        <v>#DIV/0!</v>
      </c>
      <c r="O47" s="65" t="e">
        <f>N47</f>
        <v>#DIV/0!</v>
      </c>
      <c r="P47" s="65" t="e">
        <f>O47</f>
        <v>#DIV/0!</v>
      </c>
    </row>
    <row r="48" spans="1:19" hidden="1" x14ac:dyDescent="0.3">
      <c r="A48" s="40"/>
      <c r="G48" s="68"/>
      <c r="J48" s="45" t="s">
        <v>45</v>
      </c>
      <c r="K48" s="67">
        <f>'Key Business Variables'!C14*12</f>
        <v>2160</v>
      </c>
      <c r="L48" s="67">
        <f>K48</f>
        <v>2160</v>
      </c>
      <c r="M48" s="67">
        <f>IFERROR(L48*J58,0)</f>
        <v>0</v>
      </c>
      <c r="N48" s="67">
        <f>IFERROR(L48*J59,0)</f>
        <v>0</v>
      </c>
      <c r="O48" s="67">
        <f>N48</f>
        <v>0</v>
      </c>
      <c r="P48" s="67">
        <f>O48</f>
        <v>0</v>
      </c>
    </row>
    <row r="49" spans="1:49" hidden="1" x14ac:dyDescent="0.3">
      <c r="G49" s="68"/>
      <c r="K49" s="65" t="e">
        <f>SUM(K45:K48)</f>
        <v>#REF!</v>
      </c>
      <c r="L49" s="65" t="e">
        <f t="shared" ref="L49:P49" si="9">SUM(L45:L48)</f>
        <v>#REF!</v>
      </c>
      <c r="M49" s="65" t="e">
        <f t="shared" si="9"/>
        <v>#REF!</v>
      </c>
      <c r="N49" s="65" t="e">
        <f t="shared" si="9"/>
        <v>#REF!</v>
      </c>
      <c r="O49" s="65" t="e">
        <f t="shared" si="9"/>
        <v>#REF!</v>
      </c>
      <c r="P49" s="65" t="e">
        <f t="shared" si="9"/>
        <v>#REF!</v>
      </c>
    </row>
    <row r="50" spans="1:49" hidden="1" x14ac:dyDescent="0.3">
      <c r="A50" s="42"/>
      <c r="B50" s="68"/>
      <c r="C50" s="68"/>
      <c r="D50" s="68"/>
      <c r="E50" s="68"/>
      <c r="F50" s="68"/>
      <c r="K50" s="54"/>
      <c r="L50" s="55" t="s">
        <v>27</v>
      </c>
      <c r="M50" s="65" t="e">
        <f>K49</f>
        <v>#REF!</v>
      </c>
      <c r="N50" s="65" t="e">
        <f>M50+$L$49</f>
        <v>#REF!</v>
      </c>
      <c r="O50" s="65" t="e">
        <f>N50+$L$49</f>
        <v>#REF!</v>
      </c>
      <c r="P50" s="65" t="e">
        <f>O50+$L$49</f>
        <v>#REF!</v>
      </c>
    </row>
    <row r="51" spans="1:49" hidden="1" x14ac:dyDescent="0.3">
      <c r="K51" s="55"/>
      <c r="L51" s="55" t="s">
        <v>26</v>
      </c>
      <c r="M51" s="68" t="e">
        <f>M49</f>
        <v>#REF!</v>
      </c>
      <c r="N51" s="68" t="e">
        <f>M51+N49</f>
        <v>#REF!</v>
      </c>
      <c r="O51" s="68" t="e">
        <f>N51+O49</f>
        <v>#REF!</v>
      </c>
      <c r="P51" s="68" t="e">
        <f>O51+P49</f>
        <v>#REF!</v>
      </c>
    </row>
    <row r="52" spans="1:49" hidden="1" x14ac:dyDescent="0.3">
      <c r="A52" s="51"/>
      <c r="B52" s="68"/>
      <c r="C52" s="68"/>
      <c r="D52" s="68"/>
      <c r="E52" s="68"/>
      <c r="I52" s="99" t="s">
        <v>31</v>
      </c>
      <c r="J52" s="68" t="e">
        <f>K49</f>
        <v>#REF!</v>
      </c>
    </row>
    <row r="53" spans="1:49" hidden="1" x14ac:dyDescent="0.3">
      <c r="K53" s="68"/>
    </row>
    <row r="54" spans="1:49" hidden="1" x14ac:dyDescent="0.3">
      <c r="B54" s="68"/>
      <c r="C54" s="68"/>
      <c r="D54" s="68"/>
      <c r="E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</row>
    <row r="55" spans="1:49" hidden="1" x14ac:dyDescent="0.3">
      <c r="I55" s="45" t="s">
        <v>47</v>
      </c>
      <c r="J55" s="95" t="e">
        <f>1-((B42+(B45*B46))/B37)</f>
        <v>#DIV/0!</v>
      </c>
    </row>
    <row r="56" spans="1:49" hidden="1" x14ac:dyDescent="0.3">
      <c r="A56" s="46"/>
      <c r="B56" s="82"/>
      <c r="I56" s="45" t="s">
        <v>48</v>
      </c>
      <c r="J56" s="95" t="e">
        <f>1-((F42+(F45*F46))/F37)</f>
        <v>#DIV/0!</v>
      </c>
    </row>
    <row r="57" spans="1:49" hidden="1" x14ac:dyDescent="0.3"/>
    <row r="58" spans="1:49" hidden="1" x14ac:dyDescent="0.3">
      <c r="I58" s="45" t="s">
        <v>49</v>
      </c>
      <c r="J58" s="95" t="e">
        <f>1-((B43+(B45*B47))/B38)</f>
        <v>#DIV/0!</v>
      </c>
    </row>
    <row r="59" spans="1:49" hidden="1" x14ac:dyDescent="0.3">
      <c r="B59" s="93"/>
      <c r="C59" s="93"/>
      <c r="I59" s="45" t="s">
        <v>50</v>
      </c>
      <c r="J59" s="96" t="e">
        <f>1-((F43+(F45*F47))/F38)</f>
        <v>#DIV/0!</v>
      </c>
    </row>
    <row r="60" spans="1:49" hidden="1" x14ac:dyDescent="0.3">
      <c r="A60" s="46"/>
      <c r="B60" s="68"/>
      <c r="C60" s="68"/>
    </row>
    <row r="61" spans="1:49" hidden="1" x14ac:dyDescent="0.3">
      <c r="B61" s="68"/>
      <c r="C61" s="68"/>
      <c r="I61" s="45" t="s">
        <v>36</v>
      </c>
      <c r="J61" s="95">
        <f>1-(F40/F34)</f>
        <v>-0.29744340578894057</v>
      </c>
    </row>
    <row r="62" spans="1:49" hidden="1" x14ac:dyDescent="0.3"/>
    <row r="63" spans="1:49" hidden="1" x14ac:dyDescent="0.3"/>
    <row r="64" spans="1:49" hidden="1" x14ac:dyDescent="0.3"/>
  </sheetData>
  <sheetProtection algorithmName="SHA-512" hashValue="UeVPqhC/QXRAnMnXs+vyMWHK1iso5IapAdjq/ChDVVmVSKIOFcxl/OxiQhCRQSD0vSwzg1e286X2XACZJHmkgw==" saltValue="dCuNBgOksXYI9b3MCIkZzw==" spinCount="100000" sheet="1" objects="1" scenarios="1"/>
  <mergeCells count="2">
    <mergeCell ref="B1:AW1"/>
    <mergeCell ref="M43:P43"/>
  </mergeCells>
  <pageMargins left="0.70866141732283472" right="0.70866141732283472" top="0.74803149606299213" bottom="0.74803149606299213" header="0.31496062992125984" footer="0.31496062992125984"/>
  <pageSetup scale="50" orientation="landscape" r:id="rId1"/>
  <ignoredErrors>
    <ignoredError sqref="M45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KB Article" ma:contentTypeID="0x0101001D27F52787CB344A8D5732B56A2413B1008D2DF067C586DC4A80A5FBB22502AE48" ma:contentTypeVersion="5" ma:contentTypeDescription="Knowledgebase Article for NIST Asist Operations." ma:contentTypeScope="" ma:versionID="273858765c57f9f21ac48d2234ce64cd">
  <xsd:schema xmlns:xsd="http://www.w3.org/2001/XMLSchema" xmlns:xs="http://www.w3.org/2001/XMLSchema" xmlns:p="http://schemas.microsoft.com/office/2006/metadata/properties" xmlns:ns2="cddfbb08-8c45-434e-8ae5-bee491fdbdc6" targetNamespace="http://schemas.microsoft.com/office/2006/metadata/properties" ma:root="true" ma:fieldsID="0482321b974e7bb5975663c4c0cd23b4" ns2:_="">
    <xsd:import namespace="cddfbb08-8c45-434e-8ae5-bee491fdbdc6"/>
    <xsd:element name="properties">
      <xsd:complexType>
        <xsd:sequence>
          <xsd:element name="documentManagement">
            <xsd:complexType>
              <xsd:all>
                <xsd:element ref="ns2:Tenant" minOccurs="0"/>
                <xsd:element ref="ns2:Article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fbb08-8c45-434e-8ae5-bee491fdbdc6" elementFormDefault="qualified">
    <xsd:import namespace="http://schemas.microsoft.com/office/2006/documentManagement/types"/>
    <xsd:import namespace="http://schemas.microsoft.com/office/infopath/2007/PartnerControls"/>
    <xsd:element name="Tenant" ma:index="8" nillable="true" ma:displayName="Tenant" ma:default="NA" ma:description="Please provide the tenant this KBA applies to if applicable." ma:internalName="Tenant">
      <xsd:simpleType>
        <xsd:restriction base="dms:Text">
          <xsd:maxLength value="255"/>
        </xsd:restriction>
      </xsd:simpleType>
    </xsd:element>
    <xsd:element name="Article_x0020_Type" ma:index="9" nillable="true" ma:displayName="Article Type" ma:default="NIST SOP" ma:description="What type of Knowledgebase Article is this?" ma:format="Dropdown" ma:internalName="Article_x0020_Type">
      <xsd:simpleType>
        <xsd:restriction base="dms:Choice">
          <xsd:enumeration value="NIST SOP"/>
          <xsd:enumeration value="How To"/>
          <xsd:enumeration value="FAQ"/>
          <xsd:enumeration value="Form"/>
          <xsd:enumeration value="Workflow"/>
          <xsd:enumeration value="Cust SOP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nant xmlns="cddfbb08-8c45-434e-8ae5-bee491fdbdc6">NA</Tenant>
    <Article_x0020_Type xmlns="cddfbb08-8c45-434e-8ae5-bee491fdbdc6">NIST SOP</Article_x0020_Type>
  </documentManagement>
</p:properties>
</file>

<file path=customXml/item4.xml><?xml version="1.0" encoding="utf-8"?>
<?mso-contentType ?>
<SharedContentType xmlns="Microsoft.SharePoint.Taxonomy.ContentTypeSync" SourceId="0bc77436-f026-4174-97dc-5fd7a18b0982" ContentTypeId="0x0101001D27F52787CB344A8D5732B56A2413B1" PreviousValue="false"/>
</file>

<file path=customXml/itemProps1.xml><?xml version="1.0" encoding="utf-8"?>
<ds:datastoreItem xmlns:ds="http://schemas.openxmlformats.org/officeDocument/2006/customXml" ds:itemID="{C82E667E-E028-4E1E-B128-DF71DFA64D34}"/>
</file>

<file path=customXml/itemProps2.xml><?xml version="1.0" encoding="utf-8"?>
<ds:datastoreItem xmlns:ds="http://schemas.openxmlformats.org/officeDocument/2006/customXml" ds:itemID="{8F8430E5-6A6C-4195-BF52-D34C0620CA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BA1B5F-DB9F-4CDC-B748-B58F779435AC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c8f699ea-2cf9-4c1d-b031-8f4db23ecc8f"/>
    <ds:schemaRef ds:uri="http://schemas.openxmlformats.org/package/2006/metadata/core-properties"/>
    <ds:schemaRef ds:uri="ceb70a57-9492-4570-b234-5f1ddbe5a7ff"/>
    <ds:schemaRef ds:uri="http://purl.org/dc/terms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EEDD307B-C5CB-4F5F-999B-9B04071A4C58}"/>
</file>

<file path=docMetadata/LabelInfo.xml><?xml version="1.0" encoding="utf-8"?>
<clbl:labelList xmlns:clbl="http://schemas.microsoft.com/office/2020/mipLabelMetadata">
  <clbl:label id="{72f988bf-86f1-41af-91ab-2d7cd011db47}" enabled="0" method="" siteId="{72f988bf-86f1-41af-91ab-2d7cd011db4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 Business Variables</vt:lpstr>
      <vt:lpstr>P&amp;L Impact</vt:lpstr>
      <vt:lpstr>Cash Flow Impact</vt:lpstr>
      <vt:lpstr>Core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Willmer</dc:creator>
  <dc:description>© Partner Economics 2021. All rights reserved.</dc:description>
  <cp:lastModifiedBy>Scott Parramore</cp:lastModifiedBy>
  <cp:lastPrinted>2011-05-31T20:13:44Z</cp:lastPrinted>
  <dcterms:created xsi:type="dcterms:W3CDTF">2010-11-09T18:01:08Z</dcterms:created>
  <dcterms:modified xsi:type="dcterms:W3CDTF">2021-07-14T21:52:13Z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0x01010062CC32B692408349A0CCD456D9D4C934</vt:lpwstr>
  </property>
</Properties>
</file>