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ATUS_DEFS" sheetId="1" state="visible" r:id="rId2"/>
    <sheet name="STATUS_SPECIFIC_FRAME_DEFS" sheetId="2" state="visible" r:id="rId3"/>
    <sheet name="BIN_EXP,PWR,V,I" sheetId="3" state="visible" r:id="rId4"/>
    <sheet name="GEN_INFO" sheetId="4" state="visible" r:id="rId5"/>
    <sheet name="TIME_IN_STATUS" sheetId="5" state="visible" r:id="rId6"/>
  </sheets>
  <definedNames>
    <definedName function="false" hidden="false" name="RangeValueLookup" vbProcedure="false">'BIN_EXP,PWR,V,I'!$A$2:$G$17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<sst xmlns="http://schemas.openxmlformats.org/spreadsheetml/2006/main" count="539" uniqueCount="253">
  <si>
    <t xml:space="preserve">BITS 0 to 7
DECIMAL</t>
  </si>
  <si>
    <t xml:space="preserve">BITS 0 to 7
HEX</t>
  </si>
  <si>
    <t xml:space="preserve">STATUS_ERR_PHASE_SEQUENCE</t>
  </si>
  <si>
    <t xml:space="preserve">STATUS_ERR_U1</t>
  </si>
  <si>
    <t xml:space="preserve">STATUS_ERR_U2</t>
  </si>
  <si>
    <t xml:space="preserve">STATUS_ERR_U3</t>
  </si>
  <si>
    <t xml:space="preserve">STATUS_ERR_MAX_POWER</t>
  </si>
  <si>
    <t xml:space="preserve">STATUS_ERR_MAX_CURRENT</t>
  </si>
  <si>
    <t xml:space="preserve">STATUS_ERR_MIN_PHI</t>
  </si>
  <si>
    <t xml:space="preserve">STATUS_ERR_MIN_POWER</t>
  </si>
  <si>
    <t xml:space="preserve">STATUS_ERR_PHASE_IMBALANCE</t>
  </si>
  <si>
    <t xml:space="preserve">STATUS_ERR_AUX_INHIBIT</t>
  </si>
  <si>
    <t xml:space="preserve">STATUS_ERR_NO_CURRENT</t>
  </si>
  <si>
    <t xml:space="preserve">STATUS_ERR_CONTROLLER</t>
  </si>
  <si>
    <t xml:space="preserve">STATUS_ERR_MAX_STARTS</t>
  </si>
  <si>
    <t xml:space="preserve">STATUS_ERR_SUPPLY_FREQ</t>
  </si>
  <si>
    <t xml:space="preserve">STATUS_ERR_INSULATION</t>
  </si>
  <si>
    <t xml:space="preserve">STATUS_ERR_BACK_EMF</t>
  </si>
  <si>
    <t xml:space="preserve">STATUS_UNMAPPED_ERR</t>
  </si>
  <si>
    <t xml:space="preserve">STATUS_UNKNOWN</t>
  </si>
  <si>
    <t xml:space="preserve">STATUS_RUNNING</t>
  </si>
  <si>
    <t xml:space="preserve">STATUS_UNCALIBRATED</t>
  </si>
  <si>
    <t xml:space="preserve">STATUS_CALIBRATING</t>
  </si>
  <si>
    <t xml:space="preserve">STATUS_CAL_PAUSED_AUX</t>
  </si>
  <si>
    <t xml:space="preserve">STATUS_CAL_PAUSED_RST</t>
  </si>
  <si>
    <t xml:space="preserve">STATUS_RESET_ACTIVE</t>
  </si>
  <si>
    <t xml:space="preserve">STATUS_CAL_PAUSED_MONO</t>
  </si>
  <si>
    <t xml:space="preserve">STATUS_MONO_STARTUP</t>
  </si>
  <si>
    <t xml:space="preserve">STATUS_STARTING</t>
  </si>
  <si>
    <t xml:space="preserve">BYTE 0</t>
  </si>
  <si>
    <t xml:space="preserve">BYTE 1</t>
  </si>
  <si>
    <t xml:space="preserve">BYTE 2</t>
  </si>
  <si>
    <t xml:space="preserve">BYTE 3</t>
  </si>
  <si>
    <t xml:space="preserve">BYTE 4</t>
  </si>
  <si>
    <t xml:space="preserve">BYTE 5</t>
  </si>
  <si>
    <t xml:space="preserve">BYTE 6</t>
  </si>
  <si>
    <t xml:space="preserve">BYTE 7</t>
  </si>
  <si>
    <t xml:space="preserve">BYTE 8</t>
  </si>
  <si>
    <t xml:space="preserve">BYTE 9</t>
  </si>
  <si>
    <t xml:space="preserve">HEX</t>
  </si>
  <si>
    <t xml:space="preserve">STATUS</t>
  </si>
  <si>
    <t xml:space="preserve">TIME IN STATUS</t>
  </si>
  <si>
    <t xml:space="preserve">Ad Info B0</t>
  </si>
  <si>
    <t xml:space="preserve">Ad Info B1</t>
  </si>
  <si>
    <t xml:space="preserve">Ad Info B2</t>
  </si>
  <si>
    <t xml:space="preserve">Ad Info B3</t>
  </si>
  <si>
    <t xml:space="preserve">Ad Info B4</t>
  </si>
  <si>
    <t xml:space="preserve">Ad Info B5</t>
  </si>
  <si>
    <t xml:space="preserve">Ad Info B6</t>
  </si>
  <si>
    <t xml:space="preserve">Ad Info B7</t>
  </si>
  <si>
    <t xml:space="preserve">Content of Error Message in Mobile App</t>
  </si>
  <si>
    <t xml:space="preserve">Troubleshoot Guidelines</t>
  </si>
  <si>
    <t xml:space="preserve">Telegram phase 1 Status message</t>
  </si>
  <si>
    <t xml:space="preserve">LEN of column N message</t>
  </si>
  <si>
    <t xml:space="preserve">00</t>
  </si>
  <si>
    <t xml:space="preserve">N/A</t>
  </si>
  <si>
    <t xml:space="preserve">"Supply Voltage Sequence Incorrect"</t>
  </si>
  <si>
    <t xml:space="preserve">Swap L1 and L2 on supply side.  Then also check pump turning direction and if reversed, swap T1 and T2 on the contactor.</t>
  </si>
  <si>
    <t xml:space="preserve">Supply voltage sequence incorrect. Swap L1 and L2.</t>
  </si>
  <si>
    <t xml:space="preserve">01</t>
  </si>
  <si>
    <t xml:space="preserve">ms_controller.
live_measurements.
measured_binary_exponents</t>
  </si>
  <si>
    <t xml:space="preserve">ms_controller.
live_measurements.
l1_voltage</t>
  </si>
  <si>
    <t xml:space="preserve">ms_controller.
live_measurements.
l2_voltage</t>
  </si>
  <si>
    <t xml:space="preserve">ms_controller.
live_measurements.
l3_voltage</t>
  </si>
  <si>
    <t xml:space="preserve">"Phase 1 Voltage Error. 
V1 = &lt;meas v1&gt;, 
V2 = &lt;meas v2&gt;, 
V3 = &lt;meas v3&gt; [Vpn] " </t>
  </si>
  <si>
    <t xml:space="preserve">Supply voltage (L1) out of safe operational range</t>
  </si>
  <si>
    <t xml:space="preserve">02</t>
  </si>
  <si>
    <t xml:space="preserve">"Phase 2 Voltage Error. 
V1 = &lt;meas v1&gt;, 
V2 = &lt;meas v2&gt;, 
V3 = &lt;meas v3&gt; [Vpn] " </t>
  </si>
  <si>
    <t xml:space="preserve">Supply voltage (L2) out of safe operational range</t>
  </si>
  <si>
    <t xml:space="preserve">03</t>
  </si>
  <si>
    <t xml:space="preserve">"Phase 3 Voltage Error. 
V1 = &lt;meas v1&gt;, 
V2 = &lt;meas v2&gt;, 
V3 = &lt;meas v3&gt; [Vpn] " </t>
  </si>
  <si>
    <t xml:space="preserve">Supply voltage (L3) out of safe operational range</t>
  </si>
  <si>
    <t xml:space="preserve">04</t>
  </si>
  <si>
    <t xml:space="preserve">ms_controller.
protection_limits.
limits_binary_exponents</t>
  </si>
  <si>
    <t xml:space="preserve">ms_controller.
protection_limits.
power_high_limit</t>
  </si>
  <si>
    <t xml:space="preserve">ms_controller.
live_measurements.
l3_measured_power</t>
  </si>
  <si>
    <t xml:space="preserve">ms_controller.
live_measurements.
l3_current</t>
  </si>
  <si>
    <t xml:space="preserve">"Overload (Power). 
Power = &lt;meas p3&gt; [&lt;engineering Watt unit: Watt or kW or MW&gt;], 
High Limit = &lt;p3 high limit&gt; [&lt;engineering Watt unit: Watt or kW or MW&gt;], 
Current = &lt;meas i3&gt; [Amp]"</t>
  </si>
  <si>
    <t xml:space="preserve">Overload (kW)</t>
  </si>
  <si>
    <t xml:space="preserve">05</t>
  </si>
  <si>
    <t xml:space="preserve">ms_controller.
protection_limits.
current_high_limit</t>
  </si>
  <si>
    <t xml:space="preserve">"Maximum Current. 
Current = &lt;calc i3&gt;, 
Limit = &lt;calc i_limit&gt; [Amp], 
V1 = &lt;meas v1&gt;, 
V2 = &lt;meas v2&gt;, 
V3 = &lt;meas v3&gt; [Vpn] " </t>
  </si>
  <si>
    <t xml:space="preserve">Maximum current (Amps)</t>
  </si>
  <si>
    <t xml:space="preserve">06</t>
  </si>
  <si>
    <t xml:space="preserve">ms_controller.
protection_limits.
min_phi_limit</t>
  </si>
  <si>
    <t xml:space="preserve">ms_controller.
live_measurements.
l3_phi</t>
  </si>
  <si>
    <t xml:space="preserve">"Overload (Phase Angle). 
Phi = &lt;meas phi&gt;°, 
Phi Lim = &lt;phi lim&gt;°, 
V1 = &lt;meas v1&gt;, 
V2 = &lt;meas v2&gt;, 
V3 = &lt;meas v3&gt; [Vpn]"</t>
  </si>
  <si>
    <t xml:space="preserve">Overload (phase angle)</t>
  </si>
  <si>
    <t xml:space="preserve">07</t>
  </si>
  <si>
    <t xml:space="preserve">ad_info</t>
  </si>
  <si>
    <t xml:space="preserve">ad_info == 0:
ms_controller.
protection_limits.
limits_binary_exponents
ad_info == 1:
ms_controller.
protection_limits.
general_info</t>
  </si>
  <si>
    <t xml:space="preserve">ad_info == 0:
ms_controller.
protection_limits.
power_low_limit
ad_info == 1:
ms_controller.
protection_limits.
general_info (continued)</t>
  </si>
  <si>
    <t xml:space="preserve">ad_info == 0:
ms_controller.
live_measurements.
measured_binary_exponents
ad_info == 1:
ms_controller.
live_measurements.
l3_phi</t>
  </si>
  <si>
    <t xml:space="preserve">ad_info == 0:
ms_controller.
live_measurements.
l3_measured_power
ad_info == 1:
ms_controller.
live_measurements.
l3_phi (continued)</t>
  </si>
  <si>
    <t xml:space="preserve">ad_info == 0:
ms_controller.
protection_timers.
underload_restart_delay
ad_info == 1:
N/A</t>
  </si>
  <si>
    <t xml:space="preserve">ad_info == 0:
ms_controller.
protection_timers.
underload_restart_delay (continued)
ad_info == 1:
N/A</t>
  </si>
  <si>
    <t xml:space="preserve">&lt;if ad_info==0&gt;
"Underload. 
Power = &lt;meas p3&gt; [&lt;engineering Watt unit: Watt or kW or MW&gt;], 
Power Low Limit = &lt;p3 low limit&gt; [&lt;engineering Watt unit: Watt or kW or MW&gt;], 
Remaining Recovery Time = &lt;restart_delay - time_in_status (converted to minutes)&gt; [minutes]"
&lt;if ad_info==1&gt;
"Phase angle too big at calibration. 
Phi Max = &lt;ct_position==internal?'80°':'60°'&gt;,
Phi Measured = &lt;phi_meas&gt;°"</t>
  </si>
  <si>
    <t xml:space="preserve">Underload (kW)</t>
  </si>
  <si>
    <t xml:space="preserve">08</t>
  </si>
  <si>
    <t xml:space="preserve">"Phase Imbalance. 
V1 = &lt;meas v1&gt;, 
V2 = &lt;meas v2&gt;, 
V3 = &lt;meas v3&gt; [Vpn]"</t>
  </si>
  <si>
    <t xml:space="preserve">Phase imbalance </t>
  </si>
  <si>
    <t xml:space="preserve">09</t>
  </si>
  <si>
    <t xml:space="preserve">ms_controller.
protection_limits.
aux_input</t>
  </si>
  <si>
    <t xml:space="preserve">ms_controller.
live_measurements.
aux_input_status</t>
  </si>
  <si>
    <t xml:space="preserve">"Auxilliary Inhibit. 
Configured as: &lt;prot_lim.aux&gt;, 
Status = &lt;live_meas.aux&gt;"</t>
  </si>
  <si>
    <t xml:space="preserve">Auxiliary inhibit</t>
  </si>
  <si>
    <t xml:space="preserve">0A</t>
  </si>
  <si>
    <t xml:space="preserve">"No Current"</t>
  </si>
  <si>
    <t xml:space="preserve">No current</t>
  </si>
  <si>
    <t xml:space="preserve">0B</t>
  </si>
  <si>
    <t xml:space="preserve">controller_error_number</t>
  </si>
  <si>
    <t xml:space="preserve">"Controller Error Number &lt;controller_error_number&gt;"</t>
  </si>
  <si>
    <t xml:space="preserve">"Check for any loose wires on the connectors of the controller"</t>
  </si>
  <si>
    <t xml:space="preserve">Controller error</t>
  </si>
  <si>
    <t xml:space="preserve">0C</t>
  </si>
  <si>
    <t xml:space="preserve">ms_controller.
protection_limits.
general_info</t>
  </si>
  <si>
    <t xml:space="preserve">setting</t>
  </si>
  <si>
    <t xml:space="preserve">minutes_until_restart</t>
  </si>
  <si>
    <t xml:space="preserve">"Overheat Protection. Wait &lt;setting&gt; minutes.
&lt;minutes_until_restart&gt; minutes remaining until restart."</t>
  </si>
  <si>
    <t xml:space="preserve">Overheat protection</t>
  </si>
  <si>
    <t xml:space="preserve">0D</t>
  </si>
  <si>
    <t xml:space="preserve">ms_controller.
live_measurements.
Frequency</t>
  </si>
  <si>
    <t xml:space="preserve">"Supply Frequency out of bounds. 
&lt;f&gt;0?'Freq = f [Hz]':' '&gt;"</t>
  </si>
  <si>
    <t xml:space="preserve">Supply frequency out of bounds</t>
  </si>
  <si>
    <t xml:space="preserve">0E</t>
  </si>
  <si>
    <t xml:space="preserve">insulation_fail_state</t>
  </si>
  <si>
    <t xml:space="preserve">"Insulation Error. 
Failed at: &lt;ifs==0?'Pre-Run Test':
ifs==1?'Self-Test Active':
ifs==2?'Self-Test Inactive':
ifs==3?'Continuous Test':
ifs==4?'Idle':
'Unknown'&gt; "</t>
  </si>
  <si>
    <t xml:space="preserve">Motor insulation error</t>
  </si>
  <si>
    <t xml:space="preserve">0F</t>
  </si>
  <si>
    <t xml:space="preserve">"Motor can not start."</t>
  </si>
  <si>
    <t xml:space="preserve">"Check RUN, START and COM motor leads. Check RUN and START capacitors."</t>
  </si>
  <si>
    <t xml:space="preserve">Motor can not start</t>
  </si>
  <si>
    <t xml:space="preserve">ms_controller.
protection_limits.
power_low_limit</t>
  </si>
  <si>
    <t xml:space="preserve">"Motor Running. 
Power Low Limit = &lt;low limit&gt;[&lt;engineering Watt unit: Watt or kW or MW&gt;], 
Measured Power = &lt;p3 meas&gt; [&lt;engineering Watt unit: Watt or kW or MW&gt;], 
Power High Limit = &lt;p3 high limit&gt; [&lt;engineering Watt unit: Watt or kW or MW&gt;]"</t>
  </si>
  <si>
    <t xml:space="preserve">Motor running</t>
  </si>
  <si>
    <t xml:space="preserve">Valid Calibraion Method flags (1 = Valid, 0=Invalid):
bit 0: Button
bit 1: Prog Frame
bit 2: Rem Req
bit 3: Assisted Calibration
bits 4 to 7: RFU</t>
  </si>
  <si>
    <t xml:space="preserve">"Uncalibrated"</t>
  </si>
  <si>
    <t xml:space="preserve">Uncalibrated</t>
  </si>
  <si>
    <t xml:space="preserve">"Busy Calibrating"</t>
  </si>
  <si>
    <t xml:space="preserve">Busy calibrating</t>
  </si>
  <si>
    <t xml:space="preserve">"Calibration Paused by Auxiliary. 
Auxiliary input is configured as: &lt;prot_lim.aux&gt;, Status = &lt;live_meas.aux&gt;"</t>
  </si>
  <si>
    <t xml:space="preserve">Calibration paused by auxiliary inhibit</t>
  </si>
  <si>
    <t xml:space="preserve">"Calibration Paused by Reset."</t>
  </si>
  <si>
    <t xml:space="preserve">Calibration paused by reset input</t>
  </si>
  <si>
    <t xml:space="preserve">6A</t>
  </si>
  <si>
    <t xml:space="preserve">"RESET INPUT ACTIVE!  Protection stopped."</t>
  </si>
  <si>
    <t xml:space="preserve">Reset input active.  Protection paused.</t>
  </si>
  <si>
    <t xml:space="preserve">7F</t>
  </si>
  <si>
    <t xml:space="preserve">ms_controller.
protection_timers.
t_start</t>
  </si>
  <si>
    <t xml:space="preserve">"Motor is starting up.
Startup expected to complete in: &lt;t_start - time_in_status&gt; [sec]</t>
  </si>
  <si>
    <t xml:space="preserve">Motor is starting up</t>
  </si>
  <si>
    <t xml:space="preserve">"The status of the Motorscope Device is UNKNOWN since NO DATA has been received from it yet."</t>
  </si>
  <si>
    <t xml:space="preserve">The status of the Motorscope Device is UNKNOWN since NO DATA has been received from it yet</t>
  </si>
  <si>
    <t xml:space="preserve">ind_error</t>
  </si>
  <si>
    <t xml:space="preserve">"Active Individual Error &lt;ind_error&gt;"</t>
  </si>
  <si>
    <t xml:space="preserve">Motor stopped</t>
  </si>
  <si>
    <t xml:space="preserve">6B</t>
  </si>
  <si>
    <t xml:space="preserve">"Calibration Paused by the MONO start-up delay"</t>
  </si>
  <si>
    <t xml:space="preserve">Calibration paused by positive displacement pump start-up delay</t>
  </si>
  <si>
    <t xml:space="preserve">6C</t>
  </si>
  <si>
    <t xml:space="preserve">ms_controller.
protection_timers.
startup_underload_allow</t>
  </si>
  <si>
    <t xml:space="preserve">"Mono Startup. Underload Error Suppressed until Startup Time expires in &lt;startup_underload_allow - time_in_status&gt; [sec]"</t>
  </si>
  <si>
    <t xml:space="preserve">Positive displacement pump start-up delay</t>
  </si>
  <si>
    <t xml:space="preserve">RANGE VALUE</t>
  </si>
  <si>
    <t xml:space="preserve">PwrIncr</t>
  </si>
  <si>
    <t xml:space="preserve">PwrMax</t>
  </si>
  <si>
    <t xml:space="preserve">Vinc</t>
  </si>
  <si>
    <t xml:space="preserve">Vmax</t>
  </si>
  <si>
    <t xml:space="preserve">Iinc</t>
  </si>
  <si>
    <t xml:space="preserve">Imax</t>
  </si>
  <si>
    <t xml:space="preserve">DECODING </t>
  </si>
  <si>
    <t xml:space="preserve">BIN EXP OCTET ENCODING</t>
  </si>
  <si>
    <t xml:space="preserve">HEX BIN EXP</t>
  </si>
  <si>
    <t xml:space="preserve">PWR</t>
  </si>
  <si>
    <t xml:space="preserve">V</t>
  </si>
  <si>
    <t xml:space="preserve">I</t>
  </si>
  <si>
    <t xml:space="preserve">Range Values (0:7)</t>
  </si>
  <si>
    <t xml:space="preserve">EF</t>
  </si>
  <si>
    <t xml:space="preserve">Power         (7:4)</t>
  </si>
  <si>
    <t xml:space="preserve">V      (3)</t>
  </si>
  <si>
    <t xml:space="preserve">I       (2:0)</t>
  </si>
  <si>
    <t xml:space="preserve">INCREMENT</t>
  </si>
  <si>
    <t xml:space="preserve">Value</t>
  </si>
  <si>
    <t xml:space="preserve">MAX</t>
  </si>
  <si>
    <t xml:space="preserve">BIN</t>
  </si>
  <si>
    <t xml:space="preserve">Incr</t>
  </si>
  <si>
    <t xml:space="preserve">HEX PWR</t>
  </si>
  <si>
    <t xml:space="preserve">CALCULATED POWER [Watt]</t>
  </si>
  <si>
    <t xml:space="preserve">Sat</t>
  </si>
  <si>
    <t xml:space="preserve">4E</t>
  </si>
  <si>
    <t xml:space="preserve">HEX V</t>
  </si>
  <si>
    <t xml:space="preserve">CALCULATED VOLTAGE [Vphase to neutral]</t>
  </si>
  <si>
    <t xml:space="preserve">c7</t>
  </si>
  <si>
    <t xml:space="preserve">HEX CURRENT</t>
  </si>
  <si>
    <t xml:space="preserve">CALCULATED CURRENT [Amps]</t>
  </si>
  <si>
    <t xml:space="preserve">e3</t>
  </si>
  <si>
    <t xml:space="preserve">GENERAL INFO BLE DECODE</t>
  </si>
  <si>
    <t xml:space="preserve">HEX BIG ENDIAN</t>
  </si>
  <si>
    <t xml:space="preserve">FF05</t>
  </si>
  <si>
    <t xml:space="preserve">RESERVED</t>
  </si>
  <si>
    <t xml:space="preserve">MIN PHI MONITORED</t>
  </si>
  <si>
    <t xml:space="preserve">THREE MEASURED VOLTAGES</t>
  </si>
  <si>
    <t xml:space="preserve">TWO MEASURED CURRENTS</t>
  </si>
  <si>
    <t xml:space="preserve">OVERHEAT PROT METHOD</t>
  </si>
  <si>
    <t xml:space="preserve">LOAD TYPE</t>
  </si>
  <si>
    <t xml:space="preserve">CT POSITION</t>
  </si>
  <si>
    <t xml:space="preserve">CT CORE MATERIAL</t>
  </si>
  <si>
    <t xml:space="preserve">CT SECONDARY SIDE AMP RATING</t>
  </si>
  <si>
    <t xml:space="preserve">CT PRIMARY SIDE AMP RATING</t>
  </si>
  <si>
    <t xml:space="preserve">BINARY LITTLE ENDIAN</t>
  </si>
  <si>
    <t xml:space="preserve">RFU</t>
  </si>
  <si>
    <t xml:space="preserve">NO</t>
  </si>
  <si>
    <t xml:space="preserve">MAX STARTS PER HOUR</t>
  </si>
  <si>
    <t xml:space="preserve">STANDARD</t>
  </si>
  <si>
    <t xml:space="preserve">EXTERNAL</t>
  </si>
  <si>
    <t xml:space="preserve">MAGNETIC</t>
  </si>
  <si>
    <t xml:space="preserve">FIELD #</t>
  </si>
  <si>
    <t xml:space="preserve">FIELD NAME</t>
  </si>
  <si>
    <t xml:space="preserve">FIELD BINARY VAL</t>
  </si>
  <si>
    <t xml:space="preserve">FIELD DESCRIPTIVE VAL</t>
  </si>
  <si>
    <t xml:space="preserve">YES</t>
  </si>
  <si>
    <t xml:space="preserve">PTC THERMISTOR</t>
  </si>
  <si>
    <t xml:space="preserve">PD</t>
  </si>
  <si>
    <t xml:space="preserve">INTERNAL</t>
  </si>
  <si>
    <t xml:space="preserve">AIR</t>
  </si>
  <si>
    <t xml:space="preserve">I2T</t>
  </si>
  <si>
    <t xml:space="preserve">COMPRESSOR</t>
  </si>
  <si>
    <t xml:space="preserve">GENERAL INFO BLE ENCODE</t>
  </si>
  <si>
    <t xml:space="preserve">TIME IN STATUS VALUE</t>
  </si>
  <si>
    <t xml:space="preserve">SECONDS INCREMENT</t>
  </si>
  <si>
    <t xml:space="preserve">ACCUMULATED SECONDS</t>
  </si>
  <si>
    <t xml:space="preserve">DECODE</t>
  </si>
  <si>
    <t xml:space="preserve">TIME_IN_STATUS_INCR_IS_1SEC</t>
  </si>
  <si>
    <t xml:space="preserve">ef</t>
  </si>
  <si>
    <t xml:space="preserve">Time In Status</t>
  </si>
  <si>
    <t xml:space="preserve">TIME_IN_STATUS_INCR_IS_1MIN</t>
  </si>
  <si>
    <t xml:space="preserve">DEC</t>
  </si>
  <si>
    <t xml:space="preserve">Time In Status Index</t>
  </si>
  <si>
    <t xml:space="preserve">TIME_IN_STATUS_INCR_IS_15MIN</t>
  </si>
  <si>
    <t xml:space="preserve">Time In Status Seconds</t>
  </si>
  <si>
    <t xml:space="preserve">TIME_IN_STATUS_INCR_IS_1HR</t>
  </si>
  <si>
    <t xml:space="preserve">LOOKUP ROW PRELIM</t>
  </si>
  <si>
    <t xml:space="preserve">TIME_IN_STATUS_INCR_IS_2HRS</t>
  </si>
  <si>
    <t xml:space="preserve">TOTAL SECONDS IN STATUS</t>
  </si>
  <si>
    <t xml:space="preserve">TIME_IN_STATUS_MORE_THAN_2_DAYS</t>
  </si>
  <si>
    <t xml:space="preserve">CORRESPONDING SECONDS</t>
  </si>
  <si>
    <t xml:space="preserve">DAYS</t>
  </si>
  <si>
    <t xml:space="preserve">HOURS</t>
  </si>
  <si>
    <t xml:space="preserve">NUM SECONDS PER DAY</t>
  </si>
  <si>
    <t xml:space="preserve">MINUTES</t>
  </si>
  <si>
    <t xml:space="preserve">NUM SECONDS PER HOUR</t>
  </si>
  <si>
    <t xml:space="preserve">SECONDS</t>
  </si>
  <si>
    <t xml:space="preserve">NUM SECONDS PER MINUTE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</si>
</sst>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#0.000E+0"/>
    <numFmt numFmtId="167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EF4"/>
        <bgColor rgb="FFCCFFFF"/>
      </patternFill>
    </fill>
    <fill>
      <patternFill patternType="solid">
        <fgColor rgb="FFE46C0A"/>
        <bgColor rgb="FFFF9900"/>
      </patternFill>
    </fill>
    <fill>
      <patternFill patternType="solid">
        <fgColor rgb="FFB7DEE8"/>
        <bgColor rgb="FF99CCFF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9211E"/>
      </patternFill>
    </fill>
    <fill>
      <patternFill patternType="solid">
        <fgColor rgb="FFE6B9B8"/>
        <bgColor rgb="FFFCD5B5"/>
      </patternFill>
    </fill>
    <fill>
      <patternFill patternType="solid">
        <fgColor rgb="FF92D050"/>
        <bgColor rgb="FF969696"/>
      </patternFill>
    </fill>
    <fill>
      <patternFill patternType="solid">
        <fgColor rgb="FFFCD5B5"/>
        <bgColor rgb="FFE6B9B8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4" activeCellId="0" sqref="I1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0.71"/>
    <col collapsed="false" customWidth="true" hidden="false" outlineLevel="0" max="3" min="3" style="0" width="10.57"/>
    <col collapsed="false" customWidth="true" hidden="false" outlineLevel="0" max="4" min="4" style="0" width="11.14"/>
  </cols>
  <sheetData>
    <row r="1" customFormat="false" ht="30" hidden="false" customHeight="false" outlineLevel="0" collapsed="false">
      <c r="C1" s="1" t="s">
        <v>0</v>
      </c>
      <c r="D1" s="1" t="s">
        <v>1</v>
      </c>
    </row>
    <row r="2" customFormat="false" ht="15" hidden="false" customHeight="false" outlineLevel="0" collapsed="false">
      <c r="B2" s="0" t="s">
        <v>2</v>
      </c>
      <c r="C2" s="0" t="n">
        <v>0</v>
      </c>
      <c r="D2" s="0" t="str">
        <f aca="false">DEC2HEX(C2,2)</f>
        <v>00</v>
      </c>
    </row>
    <row r="3" customFormat="false" ht="15" hidden="false" customHeight="false" outlineLevel="0" collapsed="false">
      <c r="B3" s="0" t="s">
        <v>3</v>
      </c>
      <c r="C3" s="0" t="n">
        <v>1</v>
      </c>
      <c r="D3" s="0" t="str">
        <f aca="false">DEC2HEX(C3,2)</f>
        <v>01</v>
      </c>
    </row>
    <row r="4" customFormat="false" ht="15" hidden="false" customHeight="false" outlineLevel="0" collapsed="false">
      <c r="B4" s="0" t="s">
        <v>4</v>
      </c>
      <c r="C4" s="0" t="n">
        <v>2</v>
      </c>
      <c r="D4" s="0" t="str">
        <f aca="false">DEC2HEX(C4,2)</f>
        <v>02</v>
      </c>
    </row>
    <row r="5" customFormat="false" ht="15" hidden="false" customHeight="false" outlineLevel="0" collapsed="false">
      <c r="B5" s="0" t="s">
        <v>5</v>
      </c>
      <c r="C5" s="0" t="n">
        <v>3</v>
      </c>
      <c r="D5" s="0" t="str">
        <f aca="false">DEC2HEX(C5,2)</f>
        <v>03</v>
      </c>
    </row>
    <row r="6" customFormat="false" ht="15" hidden="false" customHeight="false" outlineLevel="0" collapsed="false">
      <c r="B6" s="0" t="s">
        <v>6</v>
      </c>
      <c r="C6" s="0" t="n">
        <v>4</v>
      </c>
      <c r="D6" s="0" t="str">
        <f aca="false">DEC2HEX(C6,2)</f>
        <v>04</v>
      </c>
    </row>
    <row r="7" customFormat="false" ht="15" hidden="false" customHeight="false" outlineLevel="0" collapsed="false">
      <c r="B7" s="0" t="s">
        <v>7</v>
      </c>
      <c r="C7" s="0" t="n">
        <v>5</v>
      </c>
      <c r="D7" s="0" t="str">
        <f aca="false">DEC2HEX(C7,2)</f>
        <v>05</v>
      </c>
    </row>
    <row r="8" customFormat="false" ht="15" hidden="false" customHeight="false" outlineLevel="0" collapsed="false">
      <c r="B8" s="0" t="s">
        <v>8</v>
      </c>
      <c r="C8" s="0" t="n">
        <v>6</v>
      </c>
      <c r="D8" s="0" t="str">
        <f aca="false">DEC2HEX(C8,2)</f>
        <v>06</v>
      </c>
    </row>
    <row r="9" customFormat="false" ht="15" hidden="false" customHeight="false" outlineLevel="0" collapsed="false">
      <c r="B9" s="0" t="s">
        <v>9</v>
      </c>
      <c r="C9" s="0" t="n">
        <v>7</v>
      </c>
      <c r="D9" s="0" t="str">
        <f aca="false">DEC2HEX(C9,2)</f>
        <v>07</v>
      </c>
    </row>
    <row r="10" customFormat="false" ht="15" hidden="false" customHeight="false" outlineLevel="0" collapsed="false">
      <c r="B10" s="0" t="s">
        <v>10</v>
      </c>
      <c r="C10" s="0" t="n">
        <v>8</v>
      </c>
      <c r="D10" s="0" t="str">
        <f aca="false">DEC2HEX(C10,2)</f>
        <v>08</v>
      </c>
    </row>
    <row r="11" customFormat="false" ht="15" hidden="false" customHeight="false" outlineLevel="0" collapsed="false">
      <c r="B11" s="0" t="s">
        <v>11</v>
      </c>
      <c r="C11" s="0" t="n">
        <v>9</v>
      </c>
      <c r="D11" s="0" t="str">
        <f aca="false">DEC2HEX(C11,2)</f>
        <v>09</v>
      </c>
    </row>
    <row r="12" customFormat="false" ht="15" hidden="false" customHeight="false" outlineLevel="0" collapsed="false">
      <c r="B12" s="0" t="s">
        <v>12</v>
      </c>
      <c r="C12" s="0" t="n">
        <v>10</v>
      </c>
      <c r="D12" s="0" t="str">
        <f aca="false">DEC2HEX(C12,2)</f>
        <v>0A</v>
      </c>
    </row>
    <row r="13" customFormat="false" ht="15" hidden="false" customHeight="false" outlineLevel="0" collapsed="false">
      <c r="B13" s="0" t="s">
        <v>13</v>
      </c>
      <c r="C13" s="0" t="n">
        <v>11</v>
      </c>
      <c r="D13" s="0" t="str">
        <f aca="false">DEC2HEX(C13,2)</f>
        <v>0B</v>
      </c>
    </row>
    <row r="14" customFormat="false" ht="15" hidden="false" customHeight="false" outlineLevel="0" collapsed="false">
      <c r="B14" s="0" t="s">
        <v>14</v>
      </c>
      <c r="C14" s="0" t="n">
        <v>12</v>
      </c>
      <c r="D14" s="0" t="str">
        <f aca="false">DEC2HEX(C14,2)</f>
        <v>0C</v>
      </c>
    </row>
    <row r="15" customFormat="false" ht="15" hidden="false" customHeight="false" outlineLevel="0" collapsed="false">
      <c r="B15" s="0" t="s">
        <v>15</v>
      </c>
      <c r="C15" s="0" t="n">
        <v>13</v>
      </c>
      <c r="D15" s="0" t="str">
        <f aca="false">DEC2HEX(C15,2)</f>
        <v>0D</v>
      </c>
    </row>
    <row r="16" customFormat="false" ht="15" hidden="false" customHeight="false" outlineLevel="0" collapsed="false">
      <c r="B16" s="0" t="s">
        <v>16</v>
      </c>
      <c r="C16" s="0" t="n">
        <v>14</v>
      </c>
      <c r="D16" s="0" t="str">
        <f aca="false">DEC2HEX(C16,2)</f>
        <v>0E</v>
      </c>
    </row>
    <row r="17" customFormat="false" ht="15" hidden="false" customHeight="false" outlineLevel="0" collapsed="false">
      <c r="B17" s="0" t="s">
        <v>17</v>
      </c>
      <c r="C17" s="0" t="n">
        <v>15</v>
      </c>
      <c r="D17" s="0" t="str">
        <f aca="false">DEC2HEX(C17,2)</f>
        <v>0F</v>
      </c>
    </row>
    <row r="18" customFormat="false" ht="15" hidden="false" customHeight="false" outlineLevel="0" collapsed="false">
      <c r="B18" s="0" t="s">
        <v>18</v>
      </c>
      <c r="C18" s="0" t="n">
        <v>16</v>
      </c>
      <c r="D18" s="0" t="str">
        <f aca="false">DEC2HEX(C18,2)</f>
        <v>10</v>
      </c>
    </row>
    <row r="19" customFormat="false" ht="15" hidden="false" customHeight="false" outlineLevel="0" collapsed="false">
      <c r="B19" s="0" t="s">
        <v>19</v>
      </c>
      <c r="C19" s="0" t="n">
        <v>100</v>
      </c>
      <c r="D19" s="0" t="str">
        <f aca="false">DEC2HEX(C19,2)</f>
        <v>64</v>
      </c>
    </row>
    <row r="20" customFormat="false" ht="15" hidden="false" customHeight="false" outlineLevel="0" collapsed="false">
      <c r="B20" s="0" t="s">
        <v>20</v>
      </c>
      <c r="C20" s="0" t="n">
        <v>101</v>
      </c>
      <c r="D20" s="0" t="str">
        <f aca="false">DEC2HEX(C20,2)</f>
        <v>65</v>
      </c>
    </row>
    <row r="21" customFormat="false" ht="15" hidden="false" customHeight="false" outlineLevel="0" collapsed="false">
      <c r="B21" s="0" t="s">
        <v>21</v>
      </c>
      <c r="C21" s="0" t="n">
        <v>102</v>
      </c>
      <c r="D21" s="0" t="str">
        <f aca="false">DEC2HEX(C21,2)</f>
        <v>66</v>
      </c>
    </row>
    <row r="22" customFormat="false" ht="15" hidden="false" customHeight="false" outlineLevel="0" collapsed="false">
      <c r="B22" s="0" t="s">
        <v>22</v>
      </c>
      <c r="C22" s="0" t="n">
        <v>103</v>
      </c>
      <c r="D22" s="0" t="str">
        <f aca="false">DEC2HEX(C22,2)</f>
        <v>67</v>
      </c>
    </row>
    <row r="23" customFormat="false" ht="15" hidden="false" customHeight="false" outlineLevel="0" collapsed="false">
      <c r="B23" s="0" t="s">
        <v>23</v>
      </c>
      <c r="C23" s="0" t="n">
        <v>104</v>
      </c>
      <c r="D23" s="0" t="str">
        <f aca="false">DEC2HEX(C23,2)</f>
        <v>68</v>
      </c>
    </row>
    <row r="24" customFormat="false" ht="15" hidden="false" customHeight="false" outlineLevel="0" collapsed="false">
      <c r="B24" s="0" t="s">
        <v>24</v>
      </c>
      <c r="C24" s="0" t="n">
        <v>105</v>
      </c>
      <c r="D24" s="0" t="str">
        <f aca="false">DEC2HEX(C24,2)</f>
        <v>69</v>
      </c>
    </row>
    <row r="25" customFormat="false" ht="15" hidden="false" customHeight="false" outlineLevel="0" collapsed="false">
      <c r="B25" s="0" t="s">
        <v>25</v>
      </c>
      <c r="C25" s="0" t="n">
        <v>106</v>
      </c>
      <c r="D25" s="0" t="str">
        <f aca="false">DEC2HEX(C25,2)</f>
        <v>6A</v>
      </c>
    </row>
    <row r="26" customFormat="false" ht="15" hidden="false" customHeight="false" outlineLevel="0" collapsed="false">
      <c r="B26" s="0" t="s">
        <v>26</v>
      </c>
      <c r="C26" s="0" t="n">
        <v>107</v>
      </c>
      <c r="D26" s="0" t="str">
        <f aca="false">DEC2HEX(C26,2)</f>
        <v>6B</v>
      </c>
    </row>
    <row r="27" customFormat="false" ht="15" hidden="false" customHeight="false" outlineLevel="0" collapsed="false">
      <c r="B27" s="0" t="s">
        <v>27</v>
      </c>
      <c r="C27" s="0" t="n">
        <v>108</v>
      </c>
      <c r="D27" s="0" t="str">
        <f aca="false">DEC2HEX(C27,2)</f>
        <v>6C</v>
      </c>
    </row>
    <row r="28" customFormat="false" ht="15" hidden="false" customHeight="false" outlineLevel="0" collapsed="false">
      <c r="B28" s="0" t="s">
        <v>28</v>
      </c>
      <c r="C28" s="0" t="n">
        <v>127</v>
      </c>
      <c r="D28" s="0" t="str">
        <f aca="false">DEC2HEX(C28,2)</f>
        <v>7F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0" topLeftCell="C1" activePane="topRight" state="frozen"/>
      <selection pane="topLeft" activeCell="A1" activeCellId="0" sqref="A1"/>
      <selection pane="topRight" activeCell="A4" activeCellId="0" sqref="A4"/>
    </sheetView>
  </sheetViews>
  <sheetFormatPr defaultColWidth="9.14453125" defaultRowHeight="15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2" width="36.85"/>
    <col collapsed="false" customWidth="true" hidden="false" outlineLevel="0" max="3" min="3" style="2" width="20.14"/>
    <col collapsed="false" customWidth="true" hidden="false" outlineLevel="0" max="4" min="4" style="2" width="27.42"/>
    <col collapsed="false" customWidth="true" hidden="false" outlineLevel="0" max="5" min="5" style="2" width="23.43"/>
    <col collapsed="false" customWidth="true" hidden="false" outlineLevel="0" max="8" min="6" style="2" width="27.42"/>
    <col collapsed="false" customWidth="true" hidden="false" outlineLevel="0" max="10" min="9" style="2" width="23.28"/>
    <col collapsed="false" customWidth="true" hidden="false" outlineLevel="0" max="11" min="11" style="2" width="19.43"/>
    <col collapsed="false" customWidth="true" hidden="false" outlineLevel="0" max="12" min="12" style="2" width="47"/>
    <col collapsed="false" customWidth="true" hidden="false" outlineLevel="0" max="13" min="13" style="2" width="50.72"/>
    <col collapsed="false" customWidth="true" hidden="false" outlineLevel="0" max="14" min="14" style="2" width="55.21"/>
    <col collapsed="false" customWidth="true" hidden="false" outlineLevel="0" max="15" min="15" style="2" width="34.22"/>
    <col collapsed="false" customWidth="false" hidden="false" outlineLevel="0" max="1024" min="16" style="2" width="9.14"/>
  </cols>
  <sheetData>
    <row r="1" customFormat="false" ht="21" hidden="false" customHeight="false" outlineLevel="0" collapsed="false">
      <c r="D1" s="3" t="n">
        <v>5</v>
      </c>
      <c r="E1" s="3" t="n">
        <v>6</v>
      </c>
      <c r="F1" s="3" t="n">
        <v>7</v>
      </c>
      <c r="G1" s="3" t="n">
        <v>8</v>
      </c>
      <c r="H1" s="3" t="n">
        <v>9</v>
      </c>
      <c r="I1" s="3" t="n">
        <v>10</v>
      </c>
      <c r="J1" s="3" t="n">
        <v>11</v>
      </c>
      <c r="K1" s="3" t="n">
        <v>12</v>
      </c>
    </row>
    <row r="2" customFormat="false" ht="13.8" hidden="false" customHeight="false" outlineLevel="0" collapsed="false">
      <c r="A2" s="2" t="s">
        <v>29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/>
      <c r="M2" s="4"/>
      <c r="N2" s="5"/>
      <c r="O2" s="6" t="str">
        <f aca="false">CONCATENATE("Max LEN of column N messages: ", MAX(O4:O34))</f>
        <v>Max LEN of column N messages: 90</v>
      </c>
    </row>
    <row r="3" customFormat="false" ht="13.8" hidden="false" customHeight="false" outlineLevel="0" collapsed="false">
      <c r="A3" s="2" t="s">
        <v>39</v>
      </c>
      <c r="B3" s="7" t="s">
        <v>40</v>
      </c>
      <c r="C3" s="7" t="s">
        <v>41</v>
      </c>
      <c r="D3" s="7" t="s">
        <v>42</v>
      </c>
      <c r="E3" s="7" t="s">
        <v>43</v>
      </c>
      <c r="F3" s="7" t="s">
        <v>44</v>
      </c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7" t="s">
        <v>50</v>
      </c>
      <c r="M3" s="7" t="s">
        <v>51</v>
      </c>
      <c r="N3" s="8" t="s">
        <v>52</v>
      </c>
      <c r="O3" s="9" t="s">
        <v>53</v>
      </c>
    </row>
    <row r="4" s="15" customFormat="true" ht="40.7" hidden="false" customHeight="true" outlineLevel="0" collapsed="false">
      <c r="A4" s="10" t="s">
        <v>54</v>
      </c>
      <c r="B4" s="11" t="s">
        <v>2</v>
      </c>
      <c r="C4" s="11" t="s">
        <v>41</v>
      </c>
      <c r="D4" s="11" t="s">
        <v>55</v>
      </c>
      <c r="E4" s="11" t="s">
        <v>55</v>
      </c>
      <c r="F4" s="12" t="s">
        <v>55</v>
      </c>
      <c r="G4" s="12" t="s">
        <v>55</v>
      </c>
      <c r="H4" s="12" t="s">
        <v>55</v>
      </c>
      <c r="I4" s="12" t="s">
        <v>55</v>
      </c>
      <c r="J4" s="12" t="s">
        <v>55</v>
      </c>
      <c r="K4" s="12" t="s">
        <v>55</v>
      </c>
      <c r="L4" s="13" t="s">
        <v>56</v>
      </c>
      <c r="M4" s="13" t="s">
        <v>57</v>
      </c>
      <c r="N4" s="14" t="s">
        <v>58</v>
      </c>
      <c r="O4" s="15" t="n">
        <f aca="false">LEN(N4)</f>
        <v>50</v>
      </c>
    </row>
    <row r="5" s="21" customFormat="true" ht="55.2" hidden="false" customHeight="false" outlineLevel="0" collapsed="false">
      <c r="A5" s="16" t="s">
        <v>59</v>
      </c>
      <c r="B5" s="17" t="s">
        <v>3</v>
      </c>
      <c r="C5" s="17" t="s">
        <v>41</v>
      </c>
      <c r="D5" s="18" t="s">
        <v>60</v>
      </c>
      <c r="E5" s="18" t="s">
        <v>61</v>
      </c>
      <c r="F5" s="18" t="s">
        <v>62</v>
      </c>
      <c r="G5" s="18" t="s">
        <v>63</v>
      </c>
      <c r="H5" s="19" t="s">
        <v>55</v>
      </c>
      <c r="I5" s="19" t="s">
        <v>55</v>
      </c>
      <c r="J5" s="19" t="s">
        <v>55</v>
      </c>
      <c r="K5" s="19" t="s">
        <v>55</v>
      </c>
      <c r="L5" s="18" t="s">
        <v>64</v>
      </c>
      <c r="M5" s="17"/>
      <c r="N5" s="20" t="s">
        <v>65</v>
      </c>
      <c r="O5" s="15" t="n">
        <f aca="false">LEN(N5)</f>
        <v>49</v>
      </c>
    </row>
    <row r="6" s="15" customFormat="true" ht="55.2" hidden="false" customHeight="false" outlineLevel="0" collapsed="false">
      <c r="A6" s="16" t="s">
        <v>66</v>
      </c>
      <c r="B6" s="11" t="s">
        <v>4</v>
      </c>
      <c r="C6" s="11" t="s">
        <v>41</v>
      </c>
      <c r="D6" s="13" t="s">
        <v>60</v>
      </c>
      <c r="E6" s="13" t="s">
        <v>61</v>
      </c>
      <c r="F6" s="13" t="s">
        <v>62</v>
      </c>
      <c r="G6" s="13" t="s">
        <v>63</v>
      </c>
      <c r="H6" s="12" t="s">
        <v>55</v>
      </c>
      <c r="I6" s="12" t="s">
        <v>55</v>
      </c>
      <c r="J6" s="12" t="s">
        <v>55</v>
      </c>
      <c r="K6" s="12" t="s">
        <v>55</v>
      </c>
      <c r="L6" s="13" t="s">
        <v>67</v>
      </c>
      <c r="M6" s="11"/>
      <c r="N6" s="14" t="s">
        <v>68</v>
      </c>
      <c r="O6" s="15" t="n">
        <f aca="false">LEN(N6)</f>
        <v>49</v>
      </c>
    </row>
    <row r="7" s="21" customFormat="true" ht="55.2" hidden="false" customHeight="false" outlineLevel="0" collapsed="false">
      <c r="A7" s="16" t="s">
        <v>69</v>
      </c>
      <c r="B7" s="17" t="s">
        <v>5</v>
      </c>
      <c r="C7" s="17" t="s">
        <v>41</v>
      </c>
      <c r="D7" s="18" t="s">
        <v>60</v>
      </c>
      <c r="E7" s="18" t="s">
        <v>61</v>
      </c>
      <c r="F7" s="18" t="s">
        <v>62</v>
      </c>
      <c r="G7" s="18" t="s">
        <v>63</v>
      </c>
      <c r="H7" s="19" t="s">
        <v>55</v>
      </c>
      <c r="I7" s="19" t="s">
        <v>55</v>
      </c>
      <c r="J7" s="19" t="s">
        <v>55</v>
      </c>
      <c r="K7" s="19" t="s">
        <v>55</v>
      </c>
      <c r="L7" s="18" t="s">
        <v>70</v>
      </c>
      <c r="M7" s="17"/>
      <c r="N7" s="20" t="s">
        <v>71</v>
      </c>
      <c r="O7" s="15" t="n">
        <f aca="false">LEN(N7)</f>
        <v>49</v>
      </c>
    </row>
    <row r="8" s="15" customFormat="true" ht="82.05" hidden="false" customHeight="false" outlineLevel="0" collapsed="false">
      <c r="A8" s="15" t="s">
        <v>72</v>
      </c>
      <c r="B8" s="11" t="s">
        <v>6</v>
      </c>
      <c r="C8" s="11" t="s">
        <v>41</v>
      </c>
      <c r="D8" s="13" t="s">
        <v>73</v>
      </c>
      <c r="E8" s="13" t="s">
        <v>74</v>
      </c>
      <c r="F8" s="13" t="s">
        <v>60</v>
      </c>
      <c r="G8" s="13" t="s">
        <v>75</v>
      </c>
      <c r="H8" s="13" t="s">
        <v>76</v>
      </c>
      <c r="I8" s="12" t="s">
        <v>55</v>
      </c>
      <c r="J8" s="12" t="s">
        <v>55</v>
      </c>
      <c r="K8" s="12" t="s">
        <v>55</v>
      </c>
      <c r="L8" s="13" t="s">
        <v>77</v>
      </c>
      <c r="M8" s="11"/>
      <c r="N8" s="14" t="s">
        <v>78</v>
      </c>
      <c r="O8" s="15" t="n">
        <f aca="false">LEN(N8)</f>
        <v>13</v>
      </c>
    </row>
    <row r="9" s="21" customFormat="true" ht="82.05" hidden="false" customHeight="false" outlineLevel="0" collapsed="false">
      <c r="A9" s="21" t="s">
        <v>79</v>
      </c>
      <c r="B9" s="17" t="s">
        <v>7</v>
      </c>
      <c r="C9" s="17" t="s">
        <v>41</v>
      </c>
      <c r="D9" s="18" t="s">
        <v>73</v>
      </c>
      <c r="E9" s="18" t="s">
        <v>80</v>
      </c>
      <c r="F9" s="18" t="s">
        <v>60</v>
      </c>
      <c r="G9" s="18" t="s">
        <v>61</v>
      </c>
      <c r="H9" s="18" t="s">
        <v>62</v>
      </c>
      <c r="I9" s="18" t="s">
        <v>63</v>
      </c>
      <c r="J9" s="18" t="s">
        <v>76</v>
      </c>
      <c r="K9" s="19" t="s">
        <v>55</v>
      </c>
      <c r="L9" s="18" t="s">
        <v>81</v>
      </c>
      <c r="M9" s="17"/>
      <c r="N9" s="20" t="s">
        <v>82</v>
      </c>
      <c r="O9" s="15" t="n">
        <f aca="false">LEN(N9)</f>
        <v>22</v>
      </c>
    </row>
    <row r="10" s="15" customFormat="true" ht="81.4" hidden="false" customHeight="true" outlineLevel="0" collapsed="false">
      <c r="A10" s="15" t="s">
        <v>83</v>
      </c>
      <c r="B10" s="11" t="s">
        <v>8</v>
      </c>
      <c r="C10" s="11" t="s">
        <v>41</v>
      </c>
      <c r="D10" s="22" t="s">
        <v>84</v>
      </c>
      <c r="E10" s="22"/>
      <c r="F10" s="22" t="s">
        <v>85</v>
      </c>
      <c r="G10" s="22"/>
      <c r="H10" s="13" t="s">
        <v>60</v>
      </c>
      <c r="I10" s="13" t="s">
        <v>61</v>
      </c>
      <c r="J10" s="13" t="s">
        <v>62</v>
      </c>
      <c r="K10" s="13" t="s">
        <v>63</v>
      </c>
      <c r="L10" s="13" t="s">
        <v>86</v>
      </c>
      <c r="M10" s="11"/>
      <c r="N10" s="14" t="s">
        <v>87</v>
      </c>
      <c r="O10" s="15" t="n">
        <f aca="false">LEN(N10)</f>
        <v>22</v>
      </c>
    </row>
    <row r="11" s="21" customFormat="true" ht="162.65" hidden="false" customHeight="false" outlineLevel="0" collapsed="false">
      <c r="A11" s="21" t="s">
        <v>88</v>
      </c>
      <c r="B11" s="17" t="s">
        <v>9</v>
      </c>
      <c r="C11" s="17" t="s">
        <v>41</v>
      </c>
      <c r="D11" s="19" t="s">
        <v>89</v>
      </c>
      <c r="E11" s="18" t="s">
        <v>90</v>
      </c>
      <c r="F11" s="18" t="s">
        <v>91</v>
      </c>
      <c r="G11" s="18" t="s">
        <v>92</v>
      </c>
      <c r="H11" s="18" t="s">
        <v>93</v>
      </c>
      <c r="I11" s="23" t="s">
        <v>94</v>
      </c>
      <c r="J11" s="24" t="s">
        <v>95</v>
      </c>
      <c r="K11" s="19" t="s">
        <v>55</v>
      </c>
      <c r="L11" s="18" t="s">
        <v>96</v>
      </c>
      <c r="M11" s="17"/>
      <c r="N11" s="20" t="s">
        <v>97</v>
      </c>
      <c r="O11" s="15" t="n">
        <f aca="false">LEN(N11)</f>
        <v>14</v>
      </c>
    </row>
    <row r="12" s="15" customFormat="true" ht="55.2" hidden="false" customHeight="false" outlineLevel="0" collapsed="false">
      <c r="A12" s="16" t="s">
        <v>98</v>
      </c>
      <c r="B12" s="11" t="s">
        <v>10</v>
      </c>
      <c r="C12" s="11" t="s">
        <v>41</v>
      </c>
      <c r="D12" s="13" t="s">
        <v>60</v>
      </c>
      <c r="E12" s="13" t="s">
        <v>61</v>
      </c>
      <c r="F12" s="13" t="s">
        <v>62</v>
      </c>
      <c r="G12" s="13" t="s">
        <v>63</v>
      </c>
      <c r="H12" s="12" t="s">
        <v>55</v>
      </c>
      <c r="I12" s="12" t="s">
        <v>55</v>
      </c>
      <c r="J12" s="12" t="s">
        <v>55</v>
      </c>
      <c r="K12" s="12" t="s">
        <v>55</v>
      </c>
      <c r="L12" s="25" t="s">
        <v>99</v>
      </c>
      <c r="M12" s="11"/>
      <c r="N12" s="14" t="s">
        <v>100</v>
      </c>
      <c r="O12" s="15" t="n">
        <f aca="false">LEN(N12)</f>
        <v>16</v>
      </c>
    </row>
    <row r="13" s="21" customFormat="true" ht="41.75" hidden="false" customHeight="false" outlineLevel="0" collapsed="false">
      <c r="A13" s="26" t="s">
        <v>101</v>
      </c>
      <c r="B13" s="17" t="s">
        <v>11</v>
      </c>
      <c r="C13" s="17" t="s">
        <v>41</v>
      </c>
      <c r="D13" s="18" t="s">
        <v>102</v>
      </c>
      <c r="E13" s="18" t="s">
        <v>103</v>
      </c>
      <c r="F13" s="19" t="s">
        <v>55</v>
      </c>
      <c r="G13" s="19" t="s">
        <v>55</v>
      </c>
      <c r="H13" s="19" t="s">
        <v>55</v>
      </c>
      <c r="I13" s="19" t="s">
        <v>55</v>
      </c>
      <c r="J13" s="19" t="s">
        <v>55</v>
      </c>
      <c r="K13" s="19" t="s">
        <v>55</v>
      </c>
      <c r="L13" s="18" t="s">
        <v>104</v>
      </c>
      <c r="M13" s="17"/>
      <c r="N13" s="20" t="s">
        <v>105</v>
      </c>
      <c r="O13" s="15" t="n">
        <f aca="false">LEN(N13)</f>
        <v>17</v>
      </c>
    </row>
    <row r="14" s="15" customFormat="true" ht="13.8" hidden="false" customHeight="false" outlineLevel="0" collapsed="false">
      <c r="A14" s="10" t="s">
        <v>106</v>
      </c>
      <c r="B14" s="11" t="s">
        <v>12</v>
      </c>
      <c r="C14" s="11" t="s">
        <v>41</v>
      </c>
      <c r="D14" s="12" t="s">
        <v>55</v>
      </c>
      <c r="E14" s="12" t="s">
        <v>55</v>
      </c>
      <c r="F14" s="12" t="s">
        <v>55</v>
      </c>
      <c r="G14" s="12" t="s">
        <v>55</v>
      </c>
      <c r="H14" s="12" t="s">
        <v>55</v>
      </c>
      <c r="I14" s="12" t="s">
        <v>55</v>
      </c>
      <c r="J14" s="12" t="s">
        <v>55</v>
      </c>
      <c r="K14" s="12" t="s">
        <v>55</v>
      </c>
      <c r="L14" s="11" t="s">
        <v>107</v>
      </c>
      <c r="M14" s="11"/>
      <c r="N14" s="14" t="s">
        <v>108</v>
      </c>
      <c r="O14" s="15" t="n">
        <f aca="false">LEN(N14)</f>
        <v>10</v>
      </c>
    </row>
    <row r="15" s="21" customFormat="true" ht="28.35" hidden="false" customHeight="false" outlineLevel="0" collapsed="false">
      <c r="A15" s="21" t="s">
        <v>109</v>
      </c>
      <c r="B15" s="17" t="s">
        <v>13</v>
      </c>
      <c r="C15" s="17" t="s">
        <v>41</v>
      </c>
      <c r="D15" s="17" t="s">
        <v>110</v>
      </c>
      <c r="E15" s="19" t="s">
        <v>55</v>
      </c>
      <c r="F15" s="19" t="s">
        <v>55</v>
      </c>
      <c r="G15" s="19" t="s">
        <v>55</v>
      </c>
      <c r="H15" s="19" t="s">
        <v>55</v>
      </c>
      <c r="I15" s="19" t="s">
        <v>55</v>
      </c>
      <c r="J15" s="19" t="s">
        <v>55</v>
      </c>
      <c r="K15" s="19" t="s">
        <v>55</v>
      </c>
      <c r="L15" s="18" t="s">
        <v>111</v>
      </c>
      <c r="M15" s="18" t="s">
        <v>112</v>
      </c>
      <c r="N15" s="20" t="s">
        <v>113</v>
      </c>
      <c r="O15" s="15" t="n">
        <f aca="false">LEN(N15)</f>
        <v>16</v>
      </c>
    </row>
    <row r="16" s="15" customFormat="true" ht="45" hidden="false" customHeight="true" outlineLevel="0" collapsed="false">
      <c r="A16" s="15" t="s">
        <v>114</v>
      </c>
      <c r="B16" s="11" t="s">
        <v>14</v>
      </c>
      <c r="C16" s="11" t="s">
        <v>41</v>
      </c>
      <c r="D16" s="22" t="s">
        <v>115</v>
      </c>
      <c r="E16" s="22"/>
      <c r="F16" s="11" t="s">
        <v>116</v>
      </c>
      <c r="G16" s="12" t="s">
        <v>117</v>
      </c>
      <c r="H16" s="12" t="s">
        <v>55</v>
      </c>
      <c r="I16" s="12" t="s">
        <v>55</v>
      </c>
      <c r="J16" s="12" t="s">
        <v>55</v>
      </c>
      <c r="K16" s="12" t="s">
        <v>55</v>
      </c>
      <c r="L16" s="13" t="s">
        <v>118</v>
      </c>
      <c r="M16" s="11"/>
      <c r="N16" s="14" t="s">
        <v>119</v>
      </c>
      <c r="O16" s="15" t="n">
        <f aca="false">LEN(N16)</f>
        <v>19</v>
      </c>
    </row>
    <row r="17" s="21" customFormat="true" ht="41.75" hidden="false" customHeight="false" outlineLevel="0" collapsed="false">
      <c r="A17" s="21" t="s">
        <v>120</v>
      </c>
      <c r="B17" s="17" t="s">
        <v>15</v>
      </c>
      <c r="C17" s="17" t="s">
        <v>41</v>
      </c>
      <c r="D17" s="18" t="s">
        <v>121</v>
      </c>
      <c r="E17" s="19" t="s">
        <v>55</v>
      </c>
      <c r="F17" s="19" t="s">
        <v>55</v>
      </c>
      <c r="G17" s="19" t="s">
        <v>55</v>
      </c>
      <c r="H17" s="19" t="s">
        <v>55</v>
      </c>
      <c r="I17" s="19" t="s">
        <v>55</v>
      </c>
      <c r="J17" s="19" t="s">
        <v>55</v>
      </c>
      <c r="K17" s="19" t="s">
        <v>55</v>
      </c>
      <c r="L17" s="18" t="s">
        <v>122</v>
      </c>
      <c r="M17" s="17"/>
      <c r="N17" s="20" t="s">
        <v>123</v>
      </c>
      <c r="O17" s="15" t="n">
        <f aca="false">LEN(N17)</f>
        <v>30</v>
      </c>
    </row>
    <row r="18" s="15" customFormat="true" ht="95.5" hidden="false" customHeight="false" outlineLevel="0" collapsed="false">
      <c r="A18" s="15" t="s">
        <v>124</v>
      </c>
      <c r="B18" s="11" t="s">
        <v>16</v>
      </c>
      <c r="C18" s="11" t="s">
        <v>41</v>
      </c>
      <c r="D18" s="11" t="s">
        <v>125</v>
      </c>
      <c r="E18" s="12" t="s">
        <v>55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25" t="s">
        <v>126</v>
      </c>
      <c r="M18" s="11"/>
      <c r="N18" s="14" t="s">
        <v>127</v>
      </c>
      <c r="O18" s="15" t="n">
        <f aca="false">LEN(N18)</f>
        <v>22</v>
      </c>
    </row>
    <row r="19" s="21" customFormat="true" ht="28.35" hidden="false" customHeight="false" outlineLevel="0" collapsed="false">
      <c r="A19" s="10" t="s">
        <v>128</v>
      </c>
      <c r="B19" s="17" t="s">
        <v>17</v>
      </c>
      <c r="C19" s="17" t="s">
        <v>41</v>
      </c>
      <c r="D19" s="19" t="s">
        <v>55</v>
      </c>
      <c r="E19" s="19" t="s">
        <v>55</v>
      </c>
      <c r="F19" s="19" t="s">
        <v>55</v>
      </c>
      <c r="G19" s="19" t="s">
        <v>55</v>
      </c>
      <c r="H19" s="19" t="s">
        <v>55</v>
      </c>
      <c r="I19" s="19" t="s">
        <v>55</v>
      </c>
      <c r="J19" s="19" t="s">
        <v>55</v>
      </c>
      <c r="K19" s="19" t="s">
        <v>55</v>
      </c>
      <c r="L19" s="17" t="s">
        <v>129</v>
      </c>
      <c r="M19" s="18" t="s">
        <v>130</v>
      </c>
      <c r="N19" s="20" t="s">
        <v>131</v>
      </c>
      <c r="O19" s="15" t="n">
        <f aca="false">LEN(N19)</f>
        <v>19</v>
      </c>
    </row>
    <row r="20" s="15" customFormat="true" ht="95.5" hidden="false" customHeight="false" outlineLevel="0" collapsed="false">
      <c r="A20" s="15" t="n">
        <v>65</v>
      </c>
      <c r="B20" s="11" t="s">
        <v>20</v>
      </c>
      <c r="C20" s="11" t="s">
        <v>41</v>
      </c>
      <c r="D20" s="13" t="s">
        <v>73</v>
      </c>
      <c r="E20" s="13" t="s">
        <v>74</v>
      </c>
      <c r="F20" s="13" t="s">
        <v>132</v>
      </c>
      <c r="G20" s="13" t="s">
        <v>60</v>
      </c>
      <c r="H20" s="13" t="s">
        <v>75</v>
      </c>
      <c r="I20" s="12" t="s">
        <v>55</v>
      </c>
      <c r="J20" s="12" t="s">
        <v>55</v>
      </c>
      <c r="K20" s="12" t="s">
        <v>55</v>
      </c>
      <c r="L20" s="13" t="s">
        <v>133</v>
      </c>
      <c r="M20" s="11"/>
      <c r="N20" s="14" t="s">
        <v>134</v>
      </c>
      <c r="O20" s="15" t="n">
        <f aca="false">LEN(N20)</f>
        <v>13</v>
      </c>
    </row>
    <row r="21" s="21" customFormat="true" ht="95.5" hidden="false" customHeight="false" outlineLevel="0" collapsed="false">
      <c r="A21" s="10" t="n">
        <v>66</v>
      </c>
      <c r="B21" s="17" t="s">
        <v>21</v>
      </c>
      <c r="C21" s="17" t="s">
        <v>41</v>
      </c>
      <c r="D21" s="27" t="s">
        <v>135</v>
      </c>
      <c r="E21" s="19" t="s">
        <v>55</v>
      </c>
      <c r="F21" s="19" t="s">
        <v>55</v>
      </c>
      <c r="G21" s="19" t="s">
        <v>55</v>
      </c>
      <c r="H21" s="19" t="s">
        <v>55</v>
      </c>
      <c r="I21" s="19" t="s">
        <v>55</v>
      </c>
      <c r="J21" s="19" t="s">
        <v>55</v>
      </c>
      <c r="K21" s="19" t="s">
        <v>55</v>
      </c>
      <c r="L21" s="17" t="s">
        <v>136</v>
      </c>
      <c r="M21" s="17"/>
      <c r="N21" s="20" t="s">
        <v>137</v>
      </c>
      <c r="O21" s="15" t="n">
        <f aca="false">LEN(N21)</f>
        <v>12</v>
      </c>
    </row>
    <row r="22" s="15" customFormat="true" ht="13.8" hidden="false" customHeight="false" outlineLevel="0" collapsed="false">
      <c r="A22" s="10" t="n">
        <v>67</v>
      </c>
      <c r="B22" s="11" t="s">
        <v>22</v>
      </c>
      <c r="C22" s="11" t="s">
        <v>41</v>
      </c>
      <c r="D22" s="12" t="s">
        <v>55</v>
      </c>
      <c r="E22" s="12" t="s">
        <v>55</v>
      </c>
      <c r="F22" s="12" t="s">
        <v>55</v>
      </c>
      <c r="G22" s="12" t="s">
        <v>55</v>
      </c>
      <c r="H22" s="12" t="s">
        <v>55</v>
      </c>
      <c r="I22" s="12" t="s">
        <v>55</v>
      </c>
      <c r="J22" s="12" t="s">
        <v>55</v>
      </c>
      <c r="K22" s="12" t="s">
        <v>55</v>
      </c>
      <c r="L22" s="11" t="s">
        <v>138</v>
      </c>
      <c r="M22" s="11"/>
      <c r="N22" s="14" t="s">
        <v>139</v>
      </c>
      <c r="O22" s="15" t="n">
        <f aca="false">LEN(N22)</f>
        <v>16</v>
      </c>
    </row>
    <row r="23" s="21" customFormat="true" ht="41.75" hidden="false" customHeight="false" outlineLevel="0" collapsed="false">
      <c r="A23" s="26" t="n">
        <v>68</v>
      </c>
      <c r="B23" s="17" t="s">
        <v>23</v>
      </c>
      <c r="C23" s="17" t="s">
        <v>41</v>
      </c>
      <c r="D23" s="18" t="s">
        <v>102</v>
      </c>
      <c r="E23" s="18" t="s">
        <v>103</v>
      </c>
      <c r="F23" s="19" t="s">
        <v>55</v>
      </c>
      <c r="G23" s="19" t="s">
        <v>55</v>
      </c>
      <c r="H23" s="19" t="s">
        <v>55</v>
      </c>
      <c r="I23" s="19" t="s">
        <v>55</v>
      </c>
      <c r="J23" s="19" t="s">
        <v>55</v>
      </c>
      <c r="K23" s="19" t="s">
        <v>55</v>
      </c>
      <c r="L23" s="18" t="s">
        <v>140</v>
      </c>
      <c r="M23" s="17"/>
      <c r="N23" s="20" t="s">
        <v>141</v>
      </c>
      <c r="O23" s="15" t="n">
        <f aca="false">LEN(N23)</f>
        <v>39</v>
      </c>
    </row>
    <row r="24" s="15" customFormat="true" ht="13.8" hidden="false" customHeight="false" outlineLevel="0" collapsed="false">
      <c r="A24" s="10" t="n">
        <v>69</v>
      </c>
      <c r="B24" s="11" t="s">
        <v>24</v>
      </c>
      <c r="C24" s="11" t="s">
        <v>41</v>
      </c>
      <c r="D24" s="12" t="s">
        <v>55</v>
      </c>
      <c r="E24" s="12" t="s">
        <v>55</v>
      </c>
      <c r="F24" s="12" t="s">
        <v>55</v>
      </c>
      <c r="G24" s="12" t="s">
        <v>55</v>
      </c>
      <c r="H24" s="12" t="s">
        <v>55</v>
      </c>
      <c r="I24" s="12" t="s">
        <v>55</v>
      </c>
      <c r="J24" s="12" t="s">
        <v>55</v>
      </c>
      <c r="K24" s="12" t="s">
        <v>55</v>
      </c>
      <c r="L24" s="11" t="s">
        <v>142</v>
      </c>
      <c r="M24" s="11"/>
      <c r="N24" s="14" t="s">
        <v>143</v>
      </c>
      <c r="O24" s="15" t="n">
        <f aca="false">LEN(N24)</f>
        <v>33</v>
      </c>
    </row>
    <row r="25" s="21" customFormat="true" ht="14.9" hidden="false" customHeight="false" outlineLevel="0" collapsed="false">
      <c r="A25" s="10" t="s">
        <v>144</v>
      </c>
      <c r="B25" s="17" t="s">
        <v>25</v>
      </c>
      <c r="C25" s="17" t="s">
        <v>41</v>
      </c>
      <c r="D25" s="19" t="s">
        <v>55</v>
      </c>
      <c r="E25" s="19" t="s">
        <v>55</v>
      </c>
      <c r="F25" s="19" t="s">
        <v>55</v>
      </c>
      <c r="G25" s="19" t="s">
        <v>55</v>
      </c>
      <c r="H25" s="19" t="s">
        <v>55</v>
      </c>
      <c r="I25" s="19" t="s">
        <v>55</v>
      </c>
      <c r="J25" s="19" t="s">
        <v>55</v>
      </c>
      <c r="K25" s="19" t="s">
        <v>55</v>
      </c>
      <c r="L25" s="18" t="s">
        <v>145</v>
      </c>
      <c r="M25" s="17"/>
      <c r="N25" s="20" t="s">
        <v>146</v>
      </c>
      <c r="O25" s="15" t="n">
        <f aca="false">LEN(N25)</f>
        <v>39</v>
      </c>
    </row>
    <row r="26" s="15" customFormat="true" ht="41.75" hidden="false" customHeight="false" outlineLevel="0" collapsed="false">
      <c r="A26" s="15" t="s">
        <v>147</v>
      </c>
      <c r="B26" s="11" t="s">
        <v>28</v>
      </c>
      <c r="C26" s="11" t="s">
        <v>41</v>
      </c>
      <c r="D26" s="13" t="s">
        <v>148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3" t="s">
        <v>149</v>
      </c>
      <c r="M26" s="11"/>
      <c r="N26" s="14" t="s">
        <v>150</v>
      </c>
      <c r="O26" s="15" t="n">
        <f aca="false">LEN(N26)</f>
        <v>20</v>
      </c>
    </row>
    <row r="27" s="21" customFormat="true" ht="28.35" hidden="false" customHeight="false" outlineLevel="0" collapsed="false">
      <c r="A27" s="10" t="n">
        <v>64</v>
      </c>
      <c r="B27" s="17" t="s">
        <v>19</v>
      </c>
      <c r="C27" s="17" t="s">
        <v>41</v>
      </c>
      <c r="D27" s="19" t="s">
        <v>55</v>
      </c>
      <c r="E27" s="19" t="s">
        <v>55</v>
      </c>
      <c r="F27" s="19" t="s">
        <v>55</v>
      </c>
      <c r="G27" s="19" t="s">
        <v>55</v>
      </c>
      <c r="H27" s="19" t="s">
        <v>55</v>
      </c>
      <c r="I27" s="19" t="s">
        <v>55</v>
      </c>
      <c r="J27" s="19" t="s">
        <v>55</v>
      </c>
      <c r="K27" s="19" t="s">
        <v>55</v>
      </c>
      <c r="L27" s="18" t="s">
        <v>151</v>
      </c>
      <c r="M27" s="17"/>
      <c r="N27" s="28" t="s">
        <v>152</v>
      </c>
      <c r="O27" s="15" t="n">
        <f aca="false">LEN(N27)</f>
        <v>90</v>
      </c>
    </row>
    <row r="28" s="15" customFormat="true" ht="13.8" hidden="false" customHeight="false" outlineLevel="0" collapsed="false">
      <c r="A28" s="15" t="n">
        <v>10</v>
      </c>
      <c r="B28" s="11" t="s">
        <v>18</v>
      </c>
      <c r="C28" s="11" t="s">
        <v>41</v>
      </c>
      <c r="D28" s="12" t="s">
        <v>153</v>
      </c>
      <c r="E28" s="12" t="s">
        <v>55</v>
      </c>
      <c r="F28" s="12" t="s">
        <v>55</v>
      </c>
      <c r="G28" s="12" t="s">
        <v>55</v>
      </c>
      <c r="H28" s="12" t="s">
        <v>55</v>
      </c>
      <c r="I28" s="12" t="s">
        <v>55</v>
      </c>
      <c r="J28" s="12" t="s">
        <v>55</v>
      </c>
      <c r="K28" s="12" t="s">
        <v>55</v>
      </c>
      <c r="L28" s="11" t="s">
        <v>154</v>
      </c>
      <c r="M28" s="11"/>
      <c r="N28" s="14" t="s">
        <v>155</v>
      </c>
      <c r="O28" s="15" t="n">
        <f aca="false">LEN(N28)</f>
        <v>13</v>
      </c>
    </row>
    <row r="29" s="21" customFormat="true" ht="13.8" hidden="false" customHeight="false" outlineLevel="0" collapsed="false">
      <c r="A29" s="10" t="s">
        <v>156</v>
      </c>
      <c r="B29" s="29" t="s">
        <v>26</v>
      </c>
      <c r="C29" s="29" t="s">
        <v>41</v>
      </c>
      <c r="D29" s="19" t="s">
        <v>55</v>
      </c>
      <c r="E29" s="19" t="s">
        <v>55</v>
      </c>
      <c r="F29" s="19" t="s">
        <v>55</v>
      </c>
      <c r="G29" s="19" t="s">
        <v>55</v>
      </c>
      <c r="H29" s="19" t="s">
        <v>55</v>
      </c>
      <c r="I29" s="19" t="s">
        <v>55</v>
      </c>
      <c r="J29" s="19" t="s">
        <v>55</v>
      </c>
      <c r="K29" s="19" t="s">
        <v>55</v>
      </c>
      <c r="L29" s="29" t="s">
        <v>157</v>
      </c>
      <c r="M29" s="29"/>
      <c r="N29" s="20" t="s">
        <v>158</v>
      </c>
      <c r="O29" s="15" t="n">
        <f aca="false">LEN(N29)</f>
        <v>63</v>
      </c>
    </row>
    <row r="30" s="15" customFormat="true" ht="48" hidden="false" customHeight="true" outlineLevel="0" collapsed="false">
      <c r="A30" s="15" t="s">
        <v>159</v>
      </c>
      <c r="B30" s="30" t="s">
        <v>27</v>
      </c>
      <c r="C30" s="30" t="s">
        <v>41</v>
      </c>
      <c r="D30" s="22" t="s">
        <v>160</v>
      </c>
      <c r="E30" s="22"/>
      <c r="F30" s="12" t="s">
        <v>55</v>
      </c>
      <c r="G30" s="12" t="s">
        <v>55</v>
      </c>
      <c r="H30" s="12" t="s">
        <v>55</v>
      </c>
      <c r="I30" s="12" t="s">
        <v>55</v>
      </c>
      <c r="J30" s="12" t="s">
        <v>55</v>
      </c>
      <c r="K30" s="12" t="s">
        <v>55</v>
      </c>
      <c r="L30" s="31" t="s">
        <v>161</v>
      </c>
      <c r="M30" s="30"/>
      <c r="N30" s="14" t="s">
        <v>162</v>
      </c>
      <c r="O30" s="15" t="n">
        <f aca="false">LEN(N30)</f>
        <v>41</v>
      </c>
    </row>
  </sheetData>
  <mergeCells count="4">
    <mergeCell ref="D10:E10"/>
    <mergeCell ref="F10:G10"/>
    <mergeCell ref="D16:E16"/>
    <mergeCell ref="D30:E3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2" activeCellId="0" sqref="F32"/>
    </sheetView>
  </sheetViews>
  <sheetFormatPr defaultColWidth="8.54296875" defaultRowHeight="15" zeroHeight="false" outlineLevelRow="0" outlineLevelCol="0"/>
  <cols>
    <col collapsed="false" customWidth="true" hidden="false" outlineLevel="0" max="7" min="1" style="0" width="12.71"/>
    <col collapsed="false" customWidth="true" hidden="false" outlineLevel="0" max="8" min="8" style="0" width="14.71"/>
    <col collapsed="false" customWidth="true" hidden="false" outlineLevel="0" max="11" min="9" style="0" width="12.71"/>
    <col collapsed="false" customWidth="true" hidden="false" outlineLevel="0" max="12" min="12" style="0" width="14.71"/>
    <col collapsed="false" customWidth="true" hidden="false" outlineLevel="0" max="13" min="13" style="0" width="7.28"/>
  </cols>
  <sheetData>
    <row r="1" customFormat="false" ht="30" hidden="false" customHeight="false" outlineLevel="0" collapsed="false">
      <c r="A1" s="32" t="s">
        <v>163</v>
      </c>
      <c r="B1" s="33" t="s">
        <v>164</v>
      </c>
      <c r="C1" s="33" t="s">
        <v>165</v>
      </c>
      <c r="D1" s="34" t="s">
        <v>166</v>
      </c>
      <c r="E1" s="34" t="s">
        <v>167</v>
      </c>
      <c r="F1" s="35" t="s">
        <v>168</v>
      </c>
      <c r="G1" s="35" t="s">
        <v>169</v>
      </c>
      <c r="H1" s="9"/>
      <c r="I1" s="9"/>
      <c r="J1" s="9"/>
      <c r="K1" s="9"/>
      <c r="L1" s="9"/>
      <c r="M1" s="9"/>
      <c r="N1" s="9"/>
    </row>
    <row r="2" customFormat="false" ht="15" hidden="false" customHeight="false" outlineLevel="0" collapsed="false">
      <c r="A2" s="36" t="n">
        <v>0</v>
      </c>
      <c r="B2" s="37" t="n">
        <v>1</v>
      </c>
      <c r="C2" s="38" t="n">
        <f aca="false">B2*255</f>
        <v>255</v>
      </c>
      <c r="D2" s="39" t="n">
        <v>2</v>
      </c>
      <c r="E2" s="39" t="n">
        <f aca="false">D2*255</f>
        <v>510</v>
      </c>
      <c r="F2" s="40" t="n">
        <v>0.0625</v>
      </c>
      <c r="G2" s="40" t="n">
        <f aca="false">F2*255</f>
        <v>15.9375</v>
      </c>
      <c r="I2" s="41"/>
      <c r="J2" s="41"/>
    </row>
    <row r="3" customFormat="false" ht="15" hidden="false" customHeight="false" outlineLevel="0" collapsed="false">
      <c r="A3" s="36" t="n">
        <v>1</v>
      </c>
      <c r="B3" s="42" t="n">
        <f aca="false">B2*2</f>
        <v>2</v>
      </c>
      <c r="C3" s="43" t="n">
        <f aca="false">B3*255</f>
        <v>510</v>
      </c>
      <c r="D3" s="39" t="n">
        <v>4</v>
      </c>
      <c r="E3" s="39" t="n">
        <f aca="false">D3*255</f>
        <v>1020</v>
      </c>
      <c r="F3" s="40" t="n">
        <f aca="false">F2*2</f>
        <v>0.125</v>
      </c>
      <c r="G3" s="40" t="n">
        <f aca="false">F3*255</f>
        <v>31.875</v>
      </c>
      <c r="I3" s="41"/>
      <c r="J3" s="41"/>
    </row>
    <row r="4" customFormat="false" ht="15" hidden="false" customHeight="false" outlineLevel="0" collapsed="false">
      <c r="A4" s="36" t="n">
        <v>2</v>
      </c>
      <c r="B4" s="42" t="n">
        <f aca="false">B3*2</f>
        <v>4</v>
      </c>
      <c r="C4" s="43" t="n">
        <f aca="false">B4*255</f>
        <v>1020</v>
      </c>
      <c r="D4" s="36"/>
      <c r="E4" s="36"/>
      <c r="F4" s="40" t="n">
        <f aca="false">F3*2</f>
        <v>0.25</v>
      </c>
      <c r="G4" s="40" t="n">
        <f aca="false">F4*255</f>
        <v>63.75</v>
      </c>
      <c r="I4" s="41"/>
      <c r="J4" s="41"/>
    </row>
    <row r="5" customFormat="false" ht="15" hidden="false" customHeight="false" outlineLevel="0" collapsed="false">
      <c r="A5" s="36" t="n">
        <v>3</v>
      </c>
      <c r="B5" s="42" t="n">
        <f aca="false">B4*2</f>
        <v>8</v>
      </c>
      <c r="C5" s="43" t="n">
        <f aca="false">B5*255</f>
        <v>2040</v>
      </c>
      <c r="D5" s="36"/>
      <c r="E5" s="36"/>
      <c r="F5" s="40" t="n">
        <f aca="false">F4*2</f>
        <v>0.5</v>
      </c>
      <c r="G5" s="40" t="n">
        <f aca="false">F5*255</f>
        <v>127.5</v>
      </c>
      <c r="I5" s="41"/>
      <c r="J5" s="41"/>
    </row>
    <row r="6" customFormat="false" ht="15" hidden="false" customHeight="false" outlineLevel="0" collapsed="false">
      <c r="A6" s="36" t="n">
        <v>4</v>
      </c>
      <c r="B6" s="42" t="n">
        <f aca="false">B5*2</f>
        <v>16</v>
      </c>
      <c r="C6" s="43" t="n">
        <f aca="false">B6*255</f>
        <v>4080</v>
      </c>
      <c r="D6" s="36"/>
      <c r="E6" s="36"/>
      <c r="F6" s="40" t="n">
        <f aca="false">F5*2</f>
        <v>1</v>
      </c>
      <c r="G6" s="40" t="n">
        <f aca="false">F6*255</f>
        <v>255</v>
      </c>
      <c r="I6" s="41"/>
      <c r="J6" s="41"/>
    </row>
    <row r="7" customFormat="false" ht="15" hidden="false" customHeight="false" outlineLevel="0" collapsed="false">
      <c r="A7" s="36" t="n">
        <v>5</v>
      </c>
      <c r="B7" s="42" t="n">
        <f aca="false">B6*2</f>
        <v>32</v>
      </c>
      <c r="C7" s="43" t="n">
        <f aca="false">B7*255</f>
        <v>8160</v>
      </c>
      <c r="D7" s="36"/>
      <c r="E7" s="36"/>
      <c r="F7" s="40" t="n">
        <f aca="false">F6*2</f>
        <v>2</v>
      </c>
      <c r="G7" s="40" t="n">
        <f aca="false">F7*255</f>
        <v>510</v>
      </c>
      <c r="I7" s="41"/>
      <c r="J7" s="41"/>
    </row>
    <row r="8" customFormat="false" ht="15" hidden="false" customHeight="false" outlineLevel="0" collapsed="false">
      <c r="A8" s="36" t="n">
        <v>6</v>
      </c>
      <c r="B8" s="42" t="n">
        <f aca="false">B7*2</f>
        <v>64</v>
      </c>
      <c r="C8" s="43" t="n">
        <f aca="false">B8*255</f>
        <v>16320</v>
      </c>
      <c r="D8" s="36"/>
      <c r="E8" s="36"/>
      <c r="F8" s="40" t="n">
        <f aca="false">F7*2</f>
        <v>4</v>
      </c>
      <c r="G8" s="40" t="n">
        <f aca="false">F8*255</f>
        <v>1020</v>
      </c>
      <c r="I8" s="41"/>
      <c r="J8" s="41"/>
    </row>
    <row r="9" customFormat="false" ht="15" hidden="false" customHeight="false" outlineLevel="0" collapsed="false">
      <c r="A9" s="36" t="n">
        <v>7</v>
      </c>
      <c r="B9" s="42" t="n">
        <f aca="false">B8*2</f>
        <v>128</v>
      </c>
      <c r="C9" s="43" t="n">
        <f aca="false">B9*255</f>
        <v>32640</v>
      </c>
      <c r="D9" s="36"/>
      <c r="E9" s="36"/>
      <c r="F9" s="40" t="n">
        <f aca="false">F8*2</f>
        <v>8</v>
      </c>
      <c r="G9" s="40" t="n">
        <f aca="false">F9*255</f>
        <v>2040</v>
      </c>
      <c r="I9" s="41"/>
      <c r="J9" s="41"/>
      <c r="K9" s="36"/>
    </row>
    <row r="10" customFormat="false" ht="15" hidden="false" customHeight="false" outlineLevel="0" collapsed="false">
      <c r="A10" s="36" t="n">
        <v>8</v>
      </c>
      <c r="B10" s="42" t="n">
        <f aca="false">B9*2</f>
        <v>256</v>
      </c>
      <c r="C10" s="43" t="n">
        <f aca="false">B10*255</f>
        <v>65280</v>
      </c>
      <c r="D10" s="36"/>
      <c r="E10" s="36"/>
      <c r="F10" s="36"/>
      <c r="G10" s="36"/>
      <c r="H10" s="41"/>
      <c r="I10" s="41"/>
      <c r="J10" s="41"/>
    </row>
    <row r="11" customFormat="false" ht="15" hidden="false" customHeight="false" outlineLevel="0" collapsed="false">
      <c r="A11" s="36" t="n">
        <v>9</v>
      </c>
      <c r="B11" s="42" t="n">
        <f aca="false">B10*2</f>
        <v>512</v>
      </c>
      <c r="C11" s="43" t="n">
        <f aca="false">B11*255</f>
        <v>130560</v>
      </c>
      <c r="D11" s="36"/>
      <c r="E11" s="36"/>
      <c r="F11" s="36"/>
      <c r="G11" s="36"/>
    </row>
    <row r="12" customFormat="false" ht="15" hidden="false" customHeight="false" outlineLevel="0" collapsed="false">
      <c r="A12" s="36" t="n">
        <v>10</v>
      </c>
      <c r="B12" s="42" t="n">
        <f aca="false">B11*2</f>
        <v>1024</v>
      </c>
      <c r="C12" s="43" t="n">
        <f aca="false">B12*255</f>
        <v>261120</v>
      </c>
      <c r="D12" s="36"/>
      <c r="E12" s="36"/>
      <c r="F12" s="36"/>
      <c r="G12" s="36"/>
      <c r="K12" s="36"/>
    </row>
    <row r="13" customFormat="false" ht="15" hidden="false" customHeight="false" outlineLevel="0" collapsed="false">
      <c r="A13" s="36" t="n">
        <v>11</v>
      </c>
      <c r="B13" s="42" t="n">
        <f aca="false">B12*2</f>
        <v>2048</v>
      </c>
      <c r="C13" s="43" t="n">
        <f aca="false">B13*255</f>
        <v>522240</v>
      </c>
      <c r="D13" s="36"/>
      <c r="E13" s="36"/>
      <c r="F13" s="36"/>
      <c r="G13" s="36"/>
      <c r="H13" s="44"/>
    </row>
    <row r="14" customFormat="false" ht="15" hidden="false" customHeight="false" outlineLevel="0" collapsed="false">
      <c r="A14" s="36" t="n">
        <v>12</v>
      </c>
      <c r="B14" s="42" t="n">
        <f aca="false">B13*2</f>
        <v>4096</v>
      </c>
      <c r="C14" s="43" t="n">
        <f aca="false">B14*255</f>
        <v>1044480</v>
      </c>
      <c r="D14" s="36"/>
      <c r="E14" s="36"/>
      <c r="F14" s="36"/>
      <c r="G14" s="36"/>
      <c r="H14" s="44"/>
    </row>
    <row r="15" customFormat="false" ht="15" hidden="false" customHeight="false" outlineLevel="0" collapsed="false">
      <c r="A15" s="36" t="n">
        <v>13</v>
      </c>
      <c r="B15" s="42" t="n">
        <f aca="false">B14*2</f>
        <v>8192</v>
      </c>
      <c r="C15" s="43" t="n">
        <f aca="false">B15*255</f>
        <v>2088960</v>
      </c>
      <c r="D15" s="36"/>
      <c r="E15" s="36"/>
      <c r="F15" s="36"/>
      <c r="G15" s="36"/>
      <c r="H15" s="44"/>
    </row>
    <row r="16" customFormat="false" ht="15" hidden="false" customHeight="false" outlineLevel="0" collapsed="false">
      <c r="A16" s="36" t="n">
        <v>14</v>
      </c>
      <c r="B16" s="42" t="n">
        <f aca="false">B15*2</f>
        <v>16384</v>
      </c>
      <c r="C16" s="43" t="n">
        <f aca="false">B16*255</f>
        <v>4177920</v>
      </c>
      <c r="D16" s="36"/>
      <c r="E16" s="36"/>
      <c r="F16" s="36"/>
      <c r="G16" s="36"/>
    </row>
    <row r="17" customFormat="false" ht="15" hidden="false" customHeight="false" outlineLevel="0" collapsed="false">
      <c r="A17" s="36" t="n">
        <v>15</v>
      </c>
      <c r="B17" s="37" t="n">
        <f aca="false">B16*2</f>
        <v>32768</v>
      </c>
      <c r="C17" s="38" t="n">
        <f aca="false">B17*255</f>
        <v>8355840</v>
      </c>
      <c r="D17" s="36"/>
      <c r="E17" s="36"/>
      <c r="F17" s="36"/>
      <c r="G17" s="36"/>
    </row>
    <row r="19" customFormat="false" ht="15.75" hidden="false" customHeight="false" outlineLevel="0" collapsed="false"/>
    <row r="20" customFormat="false" ht="21.75" hidden="false" customHeight="false" outlineLevel="0" collapsed="false">
      <c r="B20" s="45" t="s">
        <v>170</v>
      </c>
      <c r="C20" s="45"/>
      <c r="D20" s="45"/>
      <c r="E20" s="45"/>
      <c r="G20" s="46" t="s">
        <v>171</v>
      </c>
      <c r="H20" s="46"/>
      <c r="I20" s="46"/>
      <c r="J20" s="46"/>
    </row>
    <row r="21" customFormat="false" ht="15.75" hidden="false" customHeight="false" outlineLevel="0" collapsed="false">
      <c r="B21" s="47" t="s">
        <v>172</v>
      </c>
      <c r="C21" s="48" t="s">
        <v>173</v>
      </c>
      <c r="D21" s="48" t="s">
        <v>174</v>
      </c>
      <c r="E21" s="49" t="s">
        <v>175</v>
      </c>
      <c r="G21" s="50"/>
      <c r="H21" s="51" t="s">
        <v>176</v>
      </c>
      <c r="I21" s="51"/>
      <c r="J21" s="51"/>
    </row>
    <row r="22" customFormat="false" ht="15.75" hidden="false" customHeight="false" outlineLevel="0" collapsed="false">
      <c r="B22" s="52" t="s">
        <v>177</v>
      </c>
      <c r="C22" s="53" t="n">
        <f aca="false">BIN2DEC(LEFT(HEX2BIN(B22,8),4))</f>
        <v>14</v>
      </c>
      <c r="D22" s="54" t="n">
        <f aca="false">BIN2DEC(RIGHT(LEFT(HEX2BIN(B22,8),5),1))</f>
        <v>1</v>
      </c>
      <c r="E22" s="55" t="n">
        <f aca="false">BIN2DEC(RIGHT(HEX2BIN(B22,8),3))</f>
        <v>7</v>
      </c>
      <c r="G22" s="50"/>
      <c r="H22" s="56" t="s">
        <v>178</v>
      </c>
      <c r="I22" s="57" t="s">
        <v>179</v>
      </c>
      <c r="J22" s="58" t="s">
        <v>180</v>
      </c>
    </row>
    <row r="23" customFormat="false" ht="15.75" hidden="false" customHeight="false" outlineLevel="0" collapsed="false">
      <c r="B23" s="47" t="s">
        <v>181</v>
      </c>
      <c r="C23" s="54" t="n">
        <f aca="false">VLOOKUP(C22,RangeValueLookup,2)</f>
        <v>16384</v>
      </c>
      <c r="D23" s="54" t="n">
        <f aca="false">VLOOKUP(D22,RangeValueLookup,4)</f>
        <v>4</v>
      </c>
      <c r="E23" s="55" t="n">
        <f aca="false">VLOOKUP(E22,RangeValueLookup,6)</f>
        <v>8</v>
      </c>
      <c r="G23" s="59" t="s">
        <v>182</v>
      </c>
      <c r="H23" s="60" t="n">
        <v>3</v>
      </c>
      <c r="I23" s="60" t="n">
        <v>0</v>
      </c>
      <c r="J23" s="60" t="n">
        <v>0</v>
      </c>
    </row>
    <row r="24" customFormat="false" ht="15.75" hidden="false" customHeight="false" outlineLevel="0" collapsed="false">
      <c r="B24" s="61" t="s">
        <v>183</v>
      </c>
      <c r="C24" s="62" t="n">
        <f aca="false">VLOOKUP(C22,RangeValueLookup,3)</f>
        <v>4177920</v>
      </c>
      <c r="D24" s="62" t="n">
        <f aca="false">VLOOKUP(D22,RangeValueLookup,5)</f>
        <v>1020</v>
      </c>
      <c r="E24" s="63" t="n">
        <f aca="false">VLOOKUP(E22,RangeValueLookup,7)</f>
        <v>2040</v>
      </c>
      <c r="G24" s="59" t="s">
        <v>184</v>
      </c>
      <c r="H24" s="64" t="str">
        <f aca="false">DEC2BIN(H23,4)</f>
        <v>0011</v>
      </c>
      <c r="I24" s="64" t="str">
        <f aca="false">DEC2BIN(I23,1)</f>
        <v>0</v>
      </c>
      <c r="J24" s="65" t="str">
        <f aca="false">DEC2BIN(J23,3)</f>
        <v>000</v>
      </c>
    </row>
    <row r="25" customFormat="false" ht="15.75" hidden="false" customHeight="false" outlineLevel="0" collapsed="false">
      <c r="B25" s="66"/>
      <c r="C25" s="67"/>
      <c r="D25" s="67"/>
      <c r="E25" s="68"/>
      <c r="G25" s="59" t="s">
        <v>185</v>
      </c>
      <c r="H25" s="2" t="n">
        <f aca="false">VLOOKUP(H23,RangeValueLookup,2)</f>
        <v>8</v>
      </c>
      <c r="I25" s="2" t="n">
        <f aca="false">VLOOKUP(I23,RangeValueLookup,4)</f>
        <v>2</v>
      </c>
      <c r="J25" s="69" t="n">
        <f aca="false">VLOOKUP(J23,RangeValueLookup,6)</f>
        <v>0.0625</v>
      </c>
    </row>
    <row r="26" customFormat="false" ht="15.75" hidden="false" customHeight="false" outlineLevel="0" collapsed="false">
      <c r="B26" s="70" t="s">
        <v>186</v>
      </c>
      <c r="C26" s="49" t="s">
        <v>187</v>
      </c>
      <c r="D26" s="49"/>
      <c r="E26" s="49"/>
      <c r="G26" s="59" t="s">
        <v>188</v>
      </c>
      <c r="H26" s="2" t="n">
        <f aca="false">VLOOKUP(H23,RangeValueLookup,3)</f>
        <v>2040</v>
      </c>
      <c r="I26" s="2" t="n">
        <f aca="false">VLOOKUP(I23,RangeValueLookup,5)</f>
        <v>510</v>
      </c>
      <c r="J26" s="69" t="n">
        <f aca="false">VLOOKUP(J23,RangeValueLookup,7)</f>
        <v>15.9375</v>
      </c>
    </row>
    <row r="27" customFormat="false" ht="15.75" hidden="false" customHeight="false" outlineLevel="0" collapsed="false">
      <c r="B27" s="52" t="s">
        <v>189</v>
      </c>
      <c r="C27" s="71" t="n">
        <f aca="false">(HEX2DEC(B27))*VLOOKUP(C22,RangeValueLookup,2)</f>
        <v>1277952</v>
      </c>
      <c r="D27" s="71"/>
      <c r="E27" s="71"/>
      <c r="G27" s="61" t="s">
        <v>172</v>
      </c>
      <c r="H27" s="72" t="str">
        <f aca="false">BIN2HEX(CONCATENATE(H24,I24,J24),2)</f>
        <v>30</v>
      </c>
      <c r="I27" s="72"/>
      <c r="J27" s="72"/>
    </row>
    <row r="28" customFormat="false" ht="15.75" hidden="false" customHeight="false" outlineLevel="0" collapsed="false">
      <c r="B28" s="50"/>
      <c r="C28" s="73"/>
      <c r="D28" s="73"/>
      <c r="E28" s="74"/>
    </row>
    <row r="29" customFormat="false" ht="15.75" hidden="false" customHeight="false" outlineLevel="0" collapsed="false">
      <c r="B29" s="70" t="s">
        <v>190</v>
      </c>
      <c r="C29" s="49" t="s">
        <v>191</v>
      </c>
      <c r="D29" s="49"/>
      <c r="E29" s="49"/>
    </row>
    <row r="30" customFormat="false" ht="15.75" hidden="false" customHeight="false" outlineLevel="0" collapsed="false">
      <c r="B30" s="52" t="s">
        <v>192</v>
      </c>
      <c r="C30" s="71" t="n">
        <f aca="false">(HEX2DEC(B30))*VLOOKUP(D22,RangeValueLookup,4)</f>
        <v>796</v>
      </c>
      <c r="D30" s="71"/>
      <c r="E30" s="71"/>
    </row>
    <row r="31" customFormat="false" ht="15.75" hidden="false" customHeight="false" outlineLevel="0" collapsed="false">
      <c r="B31" s="50"/>
      <c r="C31" s="73"/>
      <c r="D31" s="73"/>
      <c r="E31" s="74"/>
    </row>
    <row r="32" customFormat="false" ht="15.75" hidden="false" customHeight="false" outlineLevel="0" collapsed="false">
      <c r="B32" s="70" t="s">
        <v>193</v>
      </c>
      <c r="C32" s="49" t="s">
        <v>194</v>
      </c>
      <c r="D32" s="49"/>
      <c r="E32" s="49"/>
    </row>
    <row r="33" customFormat="false" ht="15.75" hidden="false" customHeight="false" outlineLevel="0" collapsed="false">
      <c r="B33" s="52" t="s">
        <v>195</v>
      </c>
      <c r="C33" s="71" t="n">
        <f aca="false">(HEX2DEC(B33))*VLOOKUP(E22,RangeValueLookup,6)</f>
        <v>1816</v>
      </c>
      <c r="D33" s="71"/>
      <c r="E33" s="71"/>
    </row>
  </sheetData>
  <mergeCells count="10">
    <mergeCell ref="B20:E20"/>
    <mergeCell ref="G20:J20"/>
    <mergeCell ref="H21:J21"/>
    <mergeCell ref="C26:E26"/>
    <mergeCell ref="C27:E27"/>
    <mergeCell ref="H27:J27"/>
    <mergeCell ref="C29:E29"/>
    <mergeCell ref="C30:E30"/>
    <mergeCell ref="C32:E32"/>
    <mergeCell ref="C33:E33"/>
  </mergeCells>
  <dataValidations count="3">
    <dataValidation allowBlank="true" operator="between" showDropDown="false" showErrorMessage="true" showInputMessage="true" sqref="J23" type="list">
      <formula1>$A$2:$A$9</formula1>
      <formula2>0</formula2>
    </dataValidation>
    <dataValidation allowBlank="true" operator="between" showDropDown="false" showErrorMessage="true" showInputMessage="true" sqref="I23" type="list">
      <formula1>$A$2:$A$3</formula1>
      <formula2>0</formula2>
    </dataValidation>
    <dataValidation allowBlank="false" operator="between" showDropDown="false" showErrorMessage="true" showInputMessage="true" sqref="H23" type="list">
      <formula1>$A$2:$A$17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8" activeCellId="0" sqref="G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1.86"/>
    <col collapsed="false" customWidth="true" hidden="false" outlineLevel="0" max="4" min="3" style="0" width="22"/>
    <col collapsed="false" customWidth="true" hidden="false" outlineLevel="0" max="7" min="7" style="0" width="21.71"/>
    <col collapsed="false" customWidth="true" hidden="false" outlineLevel="0" max="8" min="8" style="0" width="20.14"/>
    <col collapsed="false" customWidth="true" hidden="false" outlineLevel="0" max="9" min="9" style="0" width="27.15"/>
    <col collapsed="false" customWidth="true" hidden="false" outlineLevel="0" max="10" min="10" style="0" width="26.15"/>
    <col collapsed="false" customWidth="true" hidden="false" outlineLevel="0" max="11" min="11" style="0" width="24.28"/>
    <col collapsed="false" customWidth="true" hidden="false" outlineLevel="0" max="12" min="12" style="0" width="13.28"/>
    <col collapsed="false" customWidth="true" hidden="false" outlineLevel="0" max="13" min="13" style="0" width="12.14"/>
    <col collapsed="false" customWidth="true" hidden="false" outlineLevel="0" max="14" min="14" style="0" width="18"/>
    <col collapsed="false" customWidth="true" hidden="false" outlineLevel="0" max="15" min="15" style="0" width="31.43"/>
    <col collapsed="false" customWidth="true" hidden="false" outlineLevel="0" max="16" min="16" style="0" width="28.72"/>
  </cols>
  <sheetData>
    <row r="1" customFormat="false" ht="21.75" hidden="false" customHeight="false" outlineLevel="0" collapsed="false">
      <c r="A1" s="45" t="s">
        <v>196</v>
      </c>
      <c r="B1" s="45"/>
      <c r="C1" s="45"/>
      <c r="D1" s="45"/>
    </row>
    <row r="2" customFormat="false" ht="15.75" hidden="false" customHeight="false" outlineLevel="0" collapsed="false">
      <c r="A2" s="75"/>
      <c r="B2" s="2" t="s">
        <v>197</v>
      </c>
      <c r="C2" s="52" t="s">
        <v>198</v>
      </c>
      <c r="D2" s="69"/>
      <c r="G2" s="9" t="s">
        <v>199</v>
      </c>
      <c r="H2" s="9" t="s">
        <v>200</v>
      </c>
      <c r="I2" s="9" t="s">
        <v>201</v>
      </c>
      <c r="J2" s="9" t="s">
        <v>202</v>
      </c>
      <c r="K2" s="9" t="s">
        <v>203</v>
      </c>
      <c r="L2" s="9" t="s">
        <v>204</v>
      </c>
      <c r="M2" s="9" t="s">
        <v>205</v>
      </c>
      <c r="N2" s="9" t="s">
        <v>206</v>
      </c>
      <c r="O2" s="9" t="s">
        <v>207</v>
      </c>
      <c r="P2" s="9" t="s">
        <v>208</v>
      </c>
    </row>
    <row r="3" customFormat="false" ht="15.75" hidden="false" customHeight="false" outlineLevel="0" collapsed="false">
      <c r="A3" s="75"/>
      <c r="B3" s="2" t="s">
        <v>209</v>
      </c>
      <c r="C3" s="73" t="str">
        <f aca="false">CONCATENATE(HEX2BIN(RIGHT(C2,2),8),HEX2BIN(LEFT(C2,2),8))</f>
        <v>0000010111111111</v>
      </c>
      <c r="D3" s="69"/>
      <c r="G3" s="0" t="s">
        <v>210</v>
      </c>
      <c r="H3" s="0" t="s">
        <v>211</v>
      </c>
      <c r="I3" s="0" t="s">
        <v>211</v>
      </c>
      <c r="J3" s="0" t="s">
        <v>211</v>
      </c>
      <c r="K3" s="0" t="s">
        <v>212</v>
      </c>
      <c r="L3" s="0" t="s">
        <v>213</v>
      </c>
      <c r="M3" s="0" t="s">
        <v>214</v>
      </c>
      <c r="N3" s="0" t="s">
        <v>215</v>
      </c>
      <c r="O3" s="76" t="n">
        <v>1</v>
      </c>
      <c r="P3" s="76" t="n">
        <v>60</v>
      </c>
    </row>
    <row r="4" customFormat="false" ht="15.75" hidden="false" customHeight="false" outlineLevel="0" collapsed="false">
      <c r="A4" s="77" t="s">
        <v>216</v>
      </c>
      <c r="B4" s="78" t="s">
        <v>217</v>
      </c>
      <c r="C4" s="79" t="s">
        <v>218</v>
      </c>
      <c r="D4" s="80" t="s">
        <v>219</v>
      </c>
      <c r="G4" s="0" t="s">
        <v>210</v>
      </c>
      <c r="H4" s="0" t="s">
        <v>220</v>
      </c>
      <c r="I4" s="0" t="s">
        <v>220</v>
      </c>
      <c r="J4" s="0" t="s">
        <v>220</v>
      </c>
      <c r="K4" s="0" t="s">
        <v>221</v>
      </c>
      <c r="L4" s="0" t="s">
        <v>222</v>
      </c>
      <c r="M4" s="0" t="s">
        <v>223</v>
      </c>
      <c r="N4" s="0" t="s">
        <v>224</v>
      </c>
      <c r="O4" s="76" t="n">
        <v>5</v>
      </c>
      <c r="P4" s="76" t="n">
        <v>75</v>
      </c>
    </row>
    <row r="5" customFormat="false" ht="15.75" hidden="false" customHeight="false" outlineLevel="0" collapsed="false">
      <c r="A5" s="50" t="n">
        <v>0</v>
      </c>
      <c r="B5" s="64" t="s">
        <v>199</v>
      </c>
      <c r="C5" s="81" t="str">
        <f aca="false">RIGHT($C$3,1)</f>
        <v>1</v>
      </c>
      <c r="D5" s="72" t="str">
        <f aca="true">OFFSET($G$3,BIN2DEC(C5),A5,1,1)</f>
        <v>RFU</v>
      </c>
      <c r="K5" s="0" t="s">
        <v>225</v>
      </c>
      <c r="L5" s="0" t="s">
        <v>226</v>
      </c>
      <c r="P5" s="76" t="n">
        <v>80</v>
      </c>
    </row>
    <row r="6" customFormat="false" ht="15.75" hidden="false" customHeight="false" outlineLevel="0" collapsed="false">
      <c r="A6" s="50" t="n">
        <v>1</v>
      </c>
      <c r="B6" s="64" t="s">
        <v>200</v>
      </c>
      <c r="C6" s="81" t="str">
        <f aca="false">LEFT(RIGHT($C$3,2),1)</f>
        <v>1</v>
      </c>
      <c r="D6" s="72" t="str">
        <f aca="true">OFFSET($G$3,BIN2DEC(C6),A6,1,1)</f>
        <v>YES</v>
      </c>
      <c r="K6" s="0" t="s">
        <v>210</v>
      </c>
      <c r="L6" s="0" t="s">
        <v>210</v>
      </c>
      <c r="P6" s="76" t="n">
        <v>100</v>
      </c>
    </row>
    <row r="7" customFormat="false" ht="15.75" hidden="false" customHeight="false" outlineLevel="0" collapsed="false">
      <c r="A7" s="50" t="n">
        <v>2</v>
      </c>
      <c r="B7" s="64" t="s">
        <v>201</v>
      </c>
      <c r="C7" s="81" t="str">
        <f aca="false">LEFT(RIGHT($C$3,3),1)</f>
        <v>1</v>
      </c>
      <c r="D7" s="72" t="str">
        <f aca="true">OFFSET($G$3,BIN2DEC(C7),A7,1,1)</f>
        <v>YES</v>
      </c>
      <c r="P7" s="76" t="n">
        <v>125</v>
      </c>
    </row>
    <row r="8" customFormat="false" ht="15.75" hidden="false" customHeight="false" outlineLevel="0" collapsed="false">
      <c r="A8" s="50" t="n">
        <v>3</v>
      </c>
      <c r="B8" s="64" t="s">
        <v>202</v>
      </c>
      <c r="C8" s="81" t="str">
        <f aca="false">LEFT(RIGHT($C$3,4),1)</f>
        <v>1</v>
      </c>
      <c r="D8" s="72" t="str">
        <f aca="true">OFFSET($G$3,BIN2DEC(C8),A8,1,1)</f>
        <v>YES</v>
      </c>
      <c r="P8" s="76" t="n">
        <v>150</v>
      </c>
    </row>
    <row r="9" customFormat="false" ht="15.75" hidden="false" customHeight="false" outlineLevel="0" collapsed="false">
      <c r="A9" s="50" t="n">
        <v>4</v>
      </c>
      <c r="B9" s="64" t="s">
        <v>203</v>
      </c>
      <c r="C9" s="81" t="str">
        <f aca="false">LEFT(RIGHT($C$3,6),2)</f>
        <v>11</v>
      </c>
      <c r="D9" s="72" t="str">
        <f aca="true">OFFSET($G$3,BIN2DEC(C9),A9,1,1)</f>
        <v>RFU</v>
      </c>
      <c r="P9" s="76" t="n">
        <v>175</v>
      </c>
    </row>
    <row r="10" customFormat="false" ht="15.75" hidden="false" customHeight="false" outlineLevel="0" collapsed="false">
      <c r="A10" s="50" t="n">
        <v>5</v>
      </c>
      <c r="B10" s="64" t="s">
        <v>204</v>
      </c>
      <c r="C10" s="81" t="str">
        <f aca="false">LEFT(RIGHT($C$3,8),2)</f>
        <v>11</v>
      </c>
      <c r="D10" s="72" t="str">
        <f aca="true">OFFSET($G$3,BIN2DEC(C10),A10,1,1)</f>
        <v>RFU</v>
      </c>
      <c r="P10" s="76" t="n">
        <v>200</v>
      </c>
    </row>
    <row r="11" customFormat="false" ht="15.75" hidden="false" customHeight="false" outlineLevel="0" collapsed="false">
      <c r="A11" s="50" t="n">
        <v>6</v>
      </c>
      <c r="B11" s="64" t="s">
        <v>205</v>
      </c>
      <c r="C11" s="81" t="str">
        <f aca="false">LEFT(RIGHT($C$3,10),1)</f>
        <v>0</v>
      </c>
      <c r="D11" s="72" t="str">
        <f aca="true">OFFSET($G$3,BIN2DEC(C11),A11,1,1)</f>
        <v>EXTERNAL</v>
      </c>
      <c r="P11" s="76" t="n">
        <v>250</v>
      </c>
    </row>
    <row r="12" customFormat="false" ht="15.75" hidden="false" customHeight="false" outlineLevel="0" collapsed="false">
      <c r="A12" s="50" t="n">
        <v>7</v>
      </c>
      <c r="B12" s="64" t="s">
        <v>206</v>
      </c>
      <c r="C12" s="81" t="str">
        <f aca="false">LEFT(RIGHT($C$3,11),1)</f>
        <v>1</v>
      </c>
      <c r="D12" s="72" t="str">
        <f aca="true">OFFSET($G$3,BIN2DEC(C12),A12,1,1)</f>
        <v>AIR</v>
      </c>
      <c r="P12" s="76" t="n">
        <v>300</v>
      </c>
    </row>
    <row r="13" customFormat="false" ht="15.75" hidden="false" customHeight="false" outlineLevel="0" collapsed="false">
      <c r="A13" s="50" t="n">
        <v>8</v>
      </c>
      <c r="B13" s="64" t="s">
        <v>207</v>
      </c>
      <c r="C13" s="81" t="str">
        <f aca="false">LEFT(RIGHT($C$3,12),1)</f>
        <v>0</v>
      </c>
      <c r="D13" s="72" t="n">
        <f aca="true">OFFSET($G$3,BIN2DEC(C13),A13,1,1)</f>
        <v>1</v>
      </c>
      <c r="P13" s="76" t="n">
        <v>400</v>
      </c>
    </row>
    <row r="14" customFormat="false" ht="15.75" hidden="false" customHeight="false" outlineLevel="0" collapsed="false">
      <c r="A14" s="82" t="n">
        <v>9</v>
      </c>
      <c r="B14" s="83" t="s">
        <v>208</v>
      </c>
      <c r="C14" s="84" t="str">
        <f aca="false">LEFT(RIGHT($C$3,18),5)</f>
        <v>00000</v>
      </c>
      <c r="D14" s="72" t="n">
        <f aca="true">OFFSET($G$3,BIN2DEC(C14),A14,1,1)</f>
        <v>60</v>
      </c>
      <c r="P14" s="76" t="n">
        <v>500</v>
      </c>
    </row>
    <row r="15" customFormat="false" ht="15.75" hidden="false" customHeight="false" outlineLevel="0" collapsed="false">
      <c r="P15" s="76" t="n">
        <v>600</v>
      </c>
    </row>
    <row r="16" customFormat="false" ht="21.75" hidden="false" customHeight="false" outlineLevel="0" collapsed="false">
      <c r="A16" s="45" t="s">
        <v>227</v>
      </c>
      <c r="B16" s="45"/>
      <c r="C16" s="45"/>
      <c r="D16" s="45"/>
      <c r="P16" s="76" t="n">
        <v>750</v>
      </c>
    </row>
    <row r="17" customFormat="false" ht="15.75" hidden="false" customHeight="false" outlineLevel="0" collapsed="false">
      <c r="A17" s="75"/>
      <c r="B17" s="2" t="s">
        <v>197</v>
      </c>
      <c r="C17" s="72" t="str">
        <f aca="false">CONCATENATE(BIN2HEX(RIGHT(C18,8),2),BIN2HEX(LEFT(C18,8),2))</f>
        <v>0440</v>
      </c>
      <c r="D17" s="69"/>
      <c r="P17" s="76" t="n">
        <v>800</v>
      </c>
    </row>
    <row r="18" customFormat="false" ht="15.75" hidden="false" customHeight="false" outlineLevel="0" collapsed="false">
      <c r="A18" s="75"/>
      <c r="B18" s="2" t="s">
        <v>209</v>
      </c>
      <c r="C18" s="73" t="str">
        <f aca="false">CONCATENATE(D29,D28,D27,D26,D25,D24,D23,D22,D21,D20)</f>
        <v>0100000000000100</v>
      </c>
      <c r="D18" s="69"/>
      <c r="P18" s="76" t="n">
        <v>1000</v>
      </c>
    </row>
    <row r="19" customFormat="false" ht="15.75" hidden="false" customHeight="false" outlineLevel="0" collapsed="false">
      <c r="A19" s="77" t="s">
        <v>216</v>
      </c>
      <c r="B19" s="78" t="s">
        <v>217</v>
      </c>
      <c r="C19" s="79" t="s">
        <v>219</v>
      </c>
      <c r="D19" s="80" t="s">
        <v>218</v>
      </c>
      <c r="P19" s="76" t="n">
        <v>1200</v>
      </c>
    </row>
    <row r="20" customFormat="false" ht="15.75" hidden="false" customHeight="false" outlineLevel="0" collapsed="false">
      <c r="A20" s="50" t="n">
        <v>0</v>
      </c>
      <c r="B20" s="64" t="s">
        <v>199</v>
      </c>
      <c r="C20" s="85" t="s">
        <v>210</v>
      </c>
      <c r="D20" s="74" t="str">
        <f aca="false">DEC2BIN((MATCH(C20,$G$3:$G$4,0)-1),1)</f>
        <v>0</v>
      </c>
      <c r="P20" s="76" t="n">
        <v>1250</v>
      </c>
    </row>
    <row r="21" customFormat="false" ht="15.75" hidden="false" customHeight="false" outlineLevel="0" collapsed="false">
      <c r="A21" s="50" t="n">
        <v>1</v>
      </c>
      <c r="B21" s="64" t="s">
        <v>200</v>
      </c>
      <c r="C21" s="85" t="s">
        <v>211</v>
      </c>
      <c r="D21" s="74" t="str">
        <f aca="false">DEC2BIN((MATCH(C21,$H$3:$H$4,0)-1),1)</f>
        <v>0</v>
      </c>
      <c r="P21" s="76" t="n">
        <v>1500</v>
      </c>
    </row>
    <row r="22" customFormat="false" ht="15.75" hidden="false" customHeight="false" outlineLevel="0" collapsed="false">
      <c r="A22" s="50" t="n">
        <v>2</v>
      </c>
      <c r="B22" s="64" t="s">
        <v>201</v>
      </c>
      <c r="C22" s="85" t="s">
        <v>220</v>
      </c>
      <c r="D22" s="74" t="str">
        <f aca="false">DEC2BIN((MATCH(C22,$I$3:$I$4,0)-1),1)</f>
        <v>1</v>
      </c>
      <c r="P22" s="76" t="n">
        <v>1600</v>
      </c>
    </row>
    <row r="23" customFormat="false" ht="15.75" hidden="false" customHeight="false" outlineLevel="0" collapsed="false">
      <c r="A23" s="50" t="n">
        <v>3</v>
      </c>
      <c r="B23" s="64" t="s">
        <v>202</v>
      </c>
      <c r="C23" s="85" t="s">
        <v>211</v>
      </c>
      <c r="D23" s="74" t="str">
        <f aca="false">DEC2BIN((MATCH(C23,$J$3:$J$4,0)-1),1)</f>
        <v>0</v>
      </c>
      <c r="P23" s="76" t="n">
        <v>2000</v>
      </c>
    </row>
    <row r="24" customFormat="false" ht="15.75" hidden="false" customHeight="false" outlineLevel="0" collapsed="false">
      <c r="A24" s="50" t="n">
        <v>4</v>
      </c>
      <c r="B24" s="64" t="s">
        <v>203</v>
      </c>
      <c r="C24" s="85" t="s">
        <v>212</v>
      </c>
      <c r="D24" s="74" t="str">
        <f aca="false">DEC2BIN((MATCH(C24,$K$3:$K$6,0)-1),2)</f>
        <v>00</v>
      </c>
      <c r="P24" s="76" t="n">
        <v>2500</v>
      </c>
    </row>
    <row r="25" customFormat="false" ht="15.75" hidden="false" customHeight="false" outlineLevel="0" collapsed="false">
      <c r="A25" s="50" t="n">
        <v>5</v>
      </c>
      <c r="B25" s="64" t="s">
        <v>204</v>
      </c>
      <c r="C25" s="85" t="s">
        <v>213</v>
      </c>
      <c r="D25" s="74" t="str">
        <f aca="false">DEC2BIN((MATCH(C25,$L$3:$L$6,0)-1),2)</f>
        <v>00</v>
      </c>
      <c r="P25" s="76" t="n">
        <v>3000</v>
      </c>
    </row>
    <row r="26" customFormat="false" ht="15.75" hidden="false" customHeight="false" outlineLevel="0" collapsed="false">
      <c r="A26" s="50" t="n">
        <v>6</v>
      </c>
      <c r="B26" s="64" t="s">
        <v>205</v>
      </c>
      <c r="C26" s="85" t="s">
        <v>214</v>
      </c>
      <c r="D26" s="74" t="str">
        <f aca="false">DEC2BIN((MATCH(C26,$M$3:$M$4,0)-1),1)</f>
        <v>0</v>
      </c>
      <c r="P26" s="76" t="n">
        <v>4000</v>
      </c>
    </row>
    <row r="27" customFormat="false" ht="15.75" hidden="false" customHeight="false" outlineLevel="0" collapsed="false">
      <c r="A27" s="50" t="n">
        <v>7</v>
      </c>
      <c r="B27" s="64" t="s">
        <v>206</v>
      </c>
      <c r="C27" s="85" t="s">
        <v>215</v>
      </c>
      <c r="D27" s="74" t="str">
        <f aca="false">DEC2BIN((MATCH(C27,$N$3:$N$4,0)-1),1)</f>
        <v>0</v>
      </c>
      <c r="P27" s="76" t="s">
        <v>210</v>
      </c>
    </row>
    <row r="28" customFormat="false" ht="15.75" hidden="false" customHeight="false" outlineLevel="0" collapsed="false">
      <c r="A28" s="50" t="n">
        <v>8</v>
      </c>
      <c r="B28" s="64" t="s">
        <v>207</v>
      </c>
      <c r="C28" s="86" t="n">
        <v>1</v>
      </c>
      <c r="D28" s="74" t="str">
        <f aca="false">DEC2BIN((MATCH(C28,$O$3:$O$4,0)-1),1)</f>
        <v>0</v>
      </c>
      <c r="P28" s="76" t="s">
        <v>210</v>
      </c>
    </row>
    <row r="29" customFormat="false" ht="15.75" hidden="false" customHeight="false" outlineLevel="0" collapsed="false">
      <c r="A29" s="82" t="n">
        <v>9</v>
      </c>
      <c r="B29" s="83" t="s">
        <v>208</v>
      </c>
      <c r="C29" s="86" t="n">
        <v>250</v>
      </c>
      <c r="D29" s="87" t="str">
        <f aca="false">DEC2BIN((MATCH(C29,$P$3:$P$34,0)-1),5)</f>
        <v>01000</v>
      </c>
      <c r="P29" s="76" t="s">
        <v>210</v>
      </c>
    </row>
    <row r="30" customFormat="false" ht="15" hidden="false" customHeight="false" outlineLevel="0" collapsed="false">
      <c r="P30" s="76" t="s">
        <v>210</v>
      </c>
    </row>
    <row r="31" customFormat="false" ht="15" hidden="false" customHeight="false" outlineLevel="0" collapsed="false">
      <c r="P31" s="76" t="s">
        <v>210</v>
      </c>
    </row>
    <row r="32" customFormat="false" ht="15" hidden="false" customHeight="false" outlineLevel="0" collapsed="false">
      <c r="P32" s="76" t="s">
        <v>210</v>
      </c>
    </row>
    <row r="33" customFormat="false" ht="15" hidden="false" customHeight="false" outlineLevel="0" collapsed="false">
      <c r="P33" s="76" t="s">
        <v>210</v>
      </c>
    </row>
    <row r="34" customFormat="false" ht="15" hidden="false" customHeight="false" outlineLevel="0" collapsed="false">
      <c r="P34" s="76" t="s">
        <v>210</v>
      </c>
    </row>
  </sheetData>
  <mergeCells count="2">
    <mergeCell ref="A1:D1"/>
    <mergeCell ref="A16:D16"/>
  </mergeCells>
  <dataValidations count="10">
    <dataValidation allowBlank="false" operator="between" showDropDown="false" showErrorMessage="true" showInputMessage="true" sqref="C20" type="list">
      <formula1>$G$3:$G$4</formula1>
      <formula2>0</formula2>
    </dataValidation>
    <dataValidation allowBlank="false" operator="between" showDropDown="false" showErrorMessage="true" showInputMessage="true" sqref="C21" type="list">
      <formula1>$H$3:$H$4</formula1>
      <formula2>0</formula2>
    </dataValidation>
    <dataValidation allowBlank="false" operator="between" showDropDown="false" showErrorMessage="true" showInputMessage="true" sqref="C22" type="list">
      <formula1>$I$3:$I$4</formula1>
      <formula2>0</formula2>
    </dataValidation>
    <dataValidation allowBlank="false" operator="between" showDropDown="false" showErrorMessage="true" showInputMessage="true" sqref="C23" type="list">
      <formula1>$J$3:$J$4</formula1>
      <formula2>0</formula2>
    </dataValidation>
    <dataValidation allowBlank="false" operator="between" showDropDown="false" showErrorMessage="true" showInputMessage="true" sqref="C24" type="list">
      <formula1>$K$3:$K$6</formula1>
      <formula2>0</formula2>
    </dataValidation>
    <dataValidation allowBlank="false" operator="between" showDropDown="false" showErrorMessage="true" showInputMessage="true" sqref="C25" type="list">
      <formula1>$L$3:$L$6</formula1>
      <formula2>0</formula2>
    </dataValidation>
    <dataValidation allowBlank="false" operator="between" showDropDown="false" showErrorMessage="true" showInputMessage="true" sqref="C26" type="list">
      <formula1>$M$3:$M$4</formula1>
      <formula2>0</formula2>
    </dataValidation>
    <dataValidation allowBlank="false" operator="between" showDropDown="false" showErrorMessage="true" showInputMessage="true" sqref="C27" type="list">
      <formula1>$N$3:$N$4</formula1>
      <formula2>0</formula2>
    </dataValidation>
    <dataValidation allowBlank="false" operator="between" showDropDown="false" showErrorMessage="true" showInputMessage="true" sqref="C28" type="list">
      <formula1>$O$3:$O$4</formula1>
      <formula2>0</formula2>
    </dataValidation>
    <dataValidation allowBlank="false" operator="between" showDropDown="false" showErrorMessage="true" showInputMessage="true" sqref="C29" type="list">
      <formula1>$P$3:$P$26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K21" activeCellId="0" sqref="K2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3" min="3" style="0" width="25.72"/>
    <col collapsed="false" customWidth="true" hidden="false" outlineLevel="0" max="4" min="4" style="0" width="21.57"/>
    <col collapsed="false" customWidth="true" hidden="false" outlineLevel="0" max="10" min="10" style="0" width="36.57"/>
    <col collapsed="false" customWidth="true" hidden="false" outlineLevel="0" max="11" min="11" style="0" width="21.15"/>
    <col collapsed="false" customWidth="true" hidden="false" outlineLevel="0" max="12" min="12" style="0" width="20.43"/>
    <col collapsed="false" customWidth="true" hidden="false" outlineLevel="0" max="13" min="13" style="0" width="23.43"/>
  </cols>
  <sheetData>
    <row r="1" customFormat="false" ht="15" hidden="false" customHeight="false" outlineLevel="0" collapsed="false">
      <c r="K1" s="0" t="s">
        <v>228</v>
      </c>
      <c r="L1" s="0" t="s">
        <v>229</v>
      </c>
      <c r="M1" s="0" t="s">
        <v>230</v>
      </c>
    </row>
    <row r="2" customFormat="false" ht="15.75" hidden="false" customHeight="false" outlineLevel="0" collapsed="false">
      <c r="A2" s="0" t="s">
        <v>231</v>
      </c>
      <c r="J2" s="0" t="s">
        <v>232</v>
      </c>
      <c r="K2" s="0" t="n">
        <v>0</v>
      </c>
      <c r="L2" s="0" t="n">
        <v>1</v>
      </c>
      <c r="M2" s="0" t="n">
        <v>0</v>
      </c>
      <c r="N2" s="0" t="str">
        <f aca="false">DEC2HEX(M2,6)</f>
        <v>000000</v>
      </c>
    </row>
    <row r="3" customFormat="false" ht="15.75" hidden="false" customHeight="false" outlineLevel="0" collapsed="false">
      <c r="A3" s="0" t="s">
        <v>39</v>
      </c>
      <c r="B3" s="88" t="s">
        <v>233</v>
      </c>
      <c r="D3" s="0" t="s">
        <v>234</v>
      </c>
      <c r="E3" s="0" t="n">
        <v>38</v>
      </c>
      <c r="J3" s="0" t="s">
        <v>235</v>
      </c>
      <c r="K3" s="0" t="n">
        <v>60</v>
      </c>
      <c r="L3" s="0" t="n">
        <v>60</v>
      </c>
      <c r="M3" s="0" t="n">
        <f aca="false">M2+((K3-K2-1)*L2)</f>
        <v>59</v>
      </c>
      <c r="N3" s="0" t="str">
        <f aca="false">DEC2HEX(M3,6)</f>
        <v>00003B</v>
      </c>
    </row>
    <row r="4" customFormat="false" ht="15" hidden="false" customHeight="false" outlineLevel="0" collapsed="false">
      <c r="A4" s="0" t="s">
        <v>236</v>
      </c>
      <c r="B4" s="0" t="n">
        <f aca="false">HEX2DEC(B3)</f>
        <v>239</v>
      </c>
      <c r="D4" s="0" t="s">
        <v>237</v>
      </c>
      <c r="E4" s="0" t="n">
        <f aca="false">MATCH(E3,K2:K7,1)</f>
        <v>1</v>
      </c>
      <c r="J4" s="0" t="s">
        <v>238</v>
      </c>
      <c r="K4" s="0" t="n">
        <v>120</v>
      </c>
      <c r="L4" s="0" t="n">
        <v>900</v>
      </c>
      <c r="M4" s="0" t="n">
        <f aca="false">M3+((K4-K3-1)*L3)</f>
        <v>3599</v>
      </c>
      <c r="N4" s="0" t="str">
        <f aca="false">DEC2HEX(M4,6)</f>
        <v>000E0F</v>
      </c>
    </row>
    <row r="5" customFormat="false" ht="15" hidden="false" customHeight="false" outlineLevel="0" collapsed="false">
      <c r="D5" s="0" t="s">
        <v>239</v>
      </c>
      <c r="E5" s="0" t="n">
        <f aca="true">OFFSET(M1,E4,0)+((E3-OFFSET(K1,E4,0))*OFFSET(L1,E4,0))</f>
        <v>38</v>
      </c>
      <c r="J5" s="0" t="s">
        <v>240</v>
      </c>
      <c r="K5" s="0" t="n">
        <v>240</v>
      </c>
      <c r="L5" s="0" t="n">
        <v>3600</v>
      </c>
      <c r="M5" s="0" t="n">
        <f aca="false">M4+((K5-K4-1)*L4)</f>
        <v>110699</v>
      </c>
      <c r="N5" s="0" t="str">
        <f aca="false">DEC2HEX(M5,6)</f>
        <v>01B06B</v>
      </c>
    </row>
    <row r="6" customFormat="false" ht="15" hidden="false" customHeight="false" outlineLevel="0" collapsed="false">
      <c r="A6" s="0" t="s">
        <v>241</v>
      </c>
      <c r="B6" s="0" t="n">
        <f aca="false">(MATCH(B4,K2:K7,1)-1)</f>
        <v>2</v>
      </c>
      <c r="J6" s="0" t="s">
        <v>242</v>
      </c>
      <c r="K6" s="0" t="n">
        <v>250</v>
      </c>
      <c r="L6" s="0" t="n">
        <v>7200</v>
      </c>
      <c r="M6" s="0" t="n">
        <f aca="false">M5+((K6-K5-1)*L5)</f>
        <v>143099</v>
      </c>
      <c r="N6" s="0" t="str">
        <f aca="false">DEC2HEX(M6,6)</f>
        <v>022EFB</v>
      </c>
    </row>
    <row r="7" customFormat="false" ht="15" hidden="false" customHeight="false" outlineLevel="0" collapsed="false">
      <c r="A7" s="0" t="s">
        <v>243</v>
      </c>
      <c r="B7" s="0" t="n">
        <f aca="true">(($B$4-OFFSET(K2,$B$6,0,1,1)+1)*OFFSET(L2,$B$6,0,1,1))+OFFSET(M2,$B$6,0,1,1)</f>
        <v>111599</v>
      </c>
      <c r="J7" s="0" t="s">
        <v>244</v>
      </c>
      <c r="K7" s="0" t="n">
        <v>255</v>
      </c>
      <c r="L7" s="0" t="n">
        <v>7200</v>
      </c>
      <c r="M7" s="0" t="n">
        <f aca="false">M6+((K7-K6-1)*L6)</f>
        <v>171899</v>
      </c>
      <c r="N7" s="0" t="str">
        <f aca="false">DEC2HEX(M7,6)</f>
        <v>029F7B</v>
      </c>
    </row>
    <row r="8" customFormat="false" ht="15.75" hidden="false" customHeight="false" outlineLevel="0" collapsed="false">
      <c r="C8" s="0" t="s">
        <v>245</v>
      </c>
    </row>
    <row r="9" customFormat="false" ht="15.75" hidden="false" customHeight="false" outlineLevel="0" collapsed="false">
      <c r="A9" s="0" t="s">
        <v>246</v>
      </c>
      <c r="B9" s="89" t="n">
        <f aca="false">INT(B7/K10)</f>
        <v>1</v>
      </c>
      <c r="C9" s="0" t="n">
        <f aca="false">B9*K10</f>
        <v>86400</v>
      </c>
    </row>
    <row r="10" customFormat="false" ht="15.75" hidden="false" customHeight="false" outlineLevel="0" collapsed="false">
      <c r="A10" s="0" t="s">
        <v>247</v>
      </c>
      <c r="B10" s="89" t="n">
        <f aca="false">INT((B7-C9)/K11)</f>
        <v>6</v>
      </c>
      <c r="C10" s="0" t="n">
        <f aca="false">B10*K11</f>
        <v>21600</v>
      </c>
      <c r="J10" s="0" t="s">
        <v>248</v>
      </c>
      <c r="K10" s="0" t="n">
        <f aca="false">K11*24</f>
        <v>86400</v>
      </c>
    </row>
    <row r="11" customFormat="false" ht="15.75" hidden="false" customHeight="false" outlineLevel="0" collapsed="false">
      <c r="A11" s="0" t="s">
        <v>249</v>
      </c>
      <c r="B11" s="89" t="n">
        <f aca="false">INT(((B7-(C9+C10))/K12))</f>
        <v>59</v>
      </c>
      <c r="C11" s="0" t="n">
        <f aca="false">B11*K12</f>
        <v>3540</v>
      </c>
      <c r="J11" s="0" t="s">
        <v>250</v>
      </c>
      <c r="K11" s="0" t="n">
        <f aca="false">K12*60</f>
        <v>3600</v>
      </c>
    </row>
    <row r="12" customFormat="false" ht="15.75" hidden="false" customHeight="false" outlineLevel="0" collapsed="false">
      <c r="A12" s="0" t="s">
        <v>251</v>
      </c>
      <c r="B12" s="89" t="n">
        <f aca="false">(B7-(C9+C10+C11))</f>
        <v>59</v>
      </c>
      <c r="C12" s="0" t="n">
        <f aca="false">B12</f>
        <v>59</v>
      </c>
      <c r="J12" s="0" t="s">
        <v>252</v>
      </c>
      <c r="K12" s="0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2016-04-25T08:53:41Z</dcterms:created>
  <dc:creator>Charl</dc:creator>
  <dc:description/>
  <dc:language>en-ZA</dc:language>
  <cp:lastModifiedBy/>
  <cp:lastPrinted>2016-04-26T06:16:08Z</cp:lastPrinted>
  <dcterms:modified xsi:type="dcterms:W3CDTF">2020-11-17T13:49:26Z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