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a Kwame\Desktop\Online Courses\Projects\Portfolio Management (365)\"/>
    </mc:Choice>
  </mc:AlternateContent>
  <xr:revisionPtr revIDLastSave="0" documentId="13_ncr:1_{13831364-F90E-4E65-B761-5E187571D0BF}" xr6:coauthVersionLast="47" xr6:coauthVersionMax="47" xr10:uidLastSave="{00000000-0000-0000-0000-000000000000}"/>
  <bookViews>
    <workbookView xWindow="-120" yWindow="-120" windowWidth="20730" windowHeight="11160" tabRatio="804" activeTab="1" xr2:uid="{00000000-000D-0000-FFFF-FFFF00000000}"/>
  </bookViews>
  <sheets>
    <sheet name="Input --&gt;" sheetId="17" r:id="rId1"/>
    <sheet name="Drivers" sheetId="3" r:id="rId2"/>
    <sheet name="Workings --&gt;" sheetId="18" r:id="rId3"/>
    <sheet name="Sales Forecast" sheetId="1" r:id="rId4"/>
    <sheet name="Fixed Asset Roll-Forward" sheetId="2" r:id="rId5"/>
    <sheet name="Working Capital" sheetId="5" r:id="rId6"/>
    <sheet name="Financing" sheetId="7" r:id="rId7"/>
    <sheet name="P&amp;L" sheetId="12" r:id="rId8"/>
    <sheet name="Cash Flow" sheetId="9" r:id="rId9"/>
    <sheet name="Beta (Regression)" sheetId="21" r:id="rId10"/>
    <sheet name="Beta (Comparable Companies)" sheetId="22" r:id="rId11"/>
    <sheet name="WACC" sheetId="14" r:id="rId12"/>
    <sheet name="Output --&gt;" sheetId="19" r:id="rId13"/>
    <sheet name="Discounted Cash Flows" sheetId="16" r:id="rId14"/>
  </sheets>
  <definedNames>
    <definedName name="CIQWBGuid" hidden="1">"2cd8126d-26c3-430c-b7fa-a069e3a1fc62"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8" i="16" l="1"/>
  <c r="I10" i="21"/>
  <c r="I9" i="21"/>
  <c r="I8" i="21"/>
  <c r="E7" i="21"/>
  <c r="F7" i="21"/>
  <c r="E8" i="21"/>
  <c r="F8" i="21"/>
  <c r="E9" i="21"/>
  <c r="F9" i="21"/>
  <c r="E10" i="21"/>
  <c r="F10" i="21"/>
  <c r="E11" i="21"/>
  <c r="F11" i="21"/>
  <c r="E12" i="21"/>
  <c r="F12" i="21"/>
  <c r="E13" i="21"/>
  <c r="F13" i="21"/>
  <c r="E14" i="21"/>
  <c r="F14" i="21"/>
  <c r="E15" i="21"/>
  <c r="F15" i="21"/>
  <c r="E16" i="21"/>
  <c r="F16" i="21"/>
  <c r="E17" i="21"/>
  <c r="F17" i="21"/>
  <c r="E18" i="21"/>
  <c r="F18" i="21"/>
  <c r="E19" i="21"/>
  <c r="F19" i="21"/>
  <c r="E20" i="21"/>
  <c r="F20" i="21"/>
  <c r="E21" i="21"/>
  <c r="F21" i="21"/>
  <c r="E22" i="21"/>
  <c r="F22" i="21"/>
  <c r="E23" i="21"/>
  <c r="F23" i="21"/>
  <c r="E24" i="21"/>
  <c r="F24" i="21"/>
  <c r="E25" i="21"/>
  <c r="F25" i="21"/>
  <c r="E26" i="21"/>
  <c r="F26" i="21"/>
  <c r="E27" i="21"/>
  <c r="F27" i="21"/>
  <c r="E28" i="21"/>
  <c r="F28" i="21"/>
  <c r="E29" i="21"/>
  <c r="F29" i="21"/>
  <c r="E30" i="21"/>
  <c r="F30" i="21"/>
  <c r="E31" i="21"/>
  <c r="F31" i="21"/>
  <c r="E32" i="21"/>
  <c r="F32" i="21"/>
  <c r="E33" i="21"/>
  <c r="F33" i="21"/>
  <c r="E34" i="21"/>
  <c r="F34" i="21"/>
  <c r="E35" i="21"/>
  <c r="F35" i="21"/>
  <c r="E36" i="21"/>
  <c r="F36" i="21"/>
  <c r="E37" i="21"/>
  <c r="F37" i="21"/>
  <c r="E38" i="21"/>
  <c r="F38" i="21"/>
  <c r="E39" i="21"/>
  <c r="F39" i="21"/>
  <c r="E40" i="21"/>
  <c r="F40" i="21"/>
  <c r="E41" i="21"/>
  <c r="F41" i="21"/>
  <c r="E42" i="21"/>
  <c r="F42" i="21"/>
  <c r="E43" i="21"/>
  <c r="F43" i="21"/>
  <c r="E44" i="21"/>
  <c r="F44" i="21"/>
  <c r="E45" i="21"/>
  <c r="F45" i="21"/>
  <c r="E46" i="21"/>
  <c r="F46" i="21"/>
  <c r="E47" i="21"/>
  <c r="F47" i="21"/>
  <c r="E48" i="21"/>
  <c r="F48" i="21"/>
  <c r="E49" i="21"/>
  <c r="F49" i="21"/>
  <c r="E50" i="21"/>
  <c r="F50" i="21"/>
  <c r="E51" i="21"/>
  <c r="F51" i="21"/>
  <c r="E52" i="21"/>
  <c r="F52" i="21"/>
  <c r="E53" i="21"/>
  <c r="F53" i="21"/>
  <c r="E54" i="21"/>
  <c r="F54" i="21"/>
  <c r="E55" i="21"/>
  <c r="F55" i="21"/>
  <c r="E56" i="21"/>
  <c r="F56" i="21"/>
  <c r="E57" i="21"/>
  <c r="F57" i="21"/>
  <c r="E58" i="21"/>
  <c r="F58" i="21"/>
  <c r="E59" i="21"/>
  <c r="F59" i="21"/>
  <c r="E60" i="21"/>
  <c r="F60" i="21"/>
  <c r="E61" i="21"/>
  <c r="F61" i="21"/>
  <c r="E62" i="21"/>
  <c r="F62" i="21"/>
  <c r="E63" i="21"/>
  <c r="F63" i="21"/>
  <c r="E64" i="21"/>
  <c r="F64" i="21"/>
  <c r="E65" i="21"/>
  <c r="F65" i="21"/>
  <c r="E66" i="21"/>
  <c r="F66" i="21"/>
  <c r="E67" i="21"/>
  <c r="F67" i="21"/>
  <c r="E68" i="21"/>
  <c r="F68" i="21"/>
  <c r="E69" i="21"/>
  <c r="F69" i="21"/>
  <c r="E70" i="21"/>
  <c r="F70" i="21"/>
  <c r="E71" i="21"/>
  <c r="F71" i="21"/>
  <c r="E72" i="21"/>
  <c r="F72" i="21"/>
  <c r="E73" i="21"/>
  <c r="F73" i="21"/>
  <c r="E74" i="21"/>
  <c r="F74" i="21"/>
  <c r="E75" i="21"/>
  <c r="F75" i="21"/>
  <c r="E76" i="21"/>
  <c r="F76" i="21"/>
  <c r="E77" i="21"/>
  <c r="F77" i="21"/>
  <c r="E78" i="21"/>
  <c r="F78" i="21"/>
  <c r="E79" i="21"/>
  <c r="F79" i="21"/>
  <c r="E80" i="21"/>
  <c r="F80" i="21"/>
  <c r="E81" i="21"/>
  <c r="F81" i="21"/>
  <c r="E82" i="21"/>
  <c r="F82" i="21"/>
  <c r="E83" i="21"/>
  <c r="F83" i="21"/>
  <c r="E84" i="21"/>
  <c r="F84" i="21"/>
  <c r="E85" i="21"/>
  <c r="F85" i="21"/>
  <c r="E86" i="21"/>
  <c r="F86" i="21"/>
  <c r="E87" i="21"/>
  <c r="F87" i="21"/>
  <c r="E88" i="21"/>
  <c r="F88" i="21"/>
  <c r="E89" i="21"/>
  <c r="F89" i="21"/>
  <c r="E90" i="21"/>
  <c r="F90" i="21"/>
  <c r="E91" i="21"/>
  <c r="F91" i="21"/>
  <c r="E92" i="21"/>
  <c r="F92" i="21"/>
  <c r="E93" i="21"/>
  <c r="F93" i="21"/>
  <c r="E94" i="21"/>
  <c r="F94" i="21"/>
  <c r="E95" i="21"/>
  <c r="F95" i="21"/>
  <c r="E96" i="21"/>
  <c r="F96" i="21"/>
  <c r="E97" i="21"/>
  <c r="F97" i="21"/>
  <c r="E98" i="21"/>
  <c r="F98" i="21"/>
  <c r="E99" i="21"/>
  <c r="F99" i="21"/>
  <c r="E100" i="21"/>
  <c r="F100" i="21"/>
  <c r="E101" i="21"/>
  <c r="F101" i="21"/>
  <c r="E102" i="21"/>
  <c r="F102" i="21"/>
  <c r="E103" i="21"/>
  <c r="F103" i="21"/>
  <c r="E104" i="21"/>
  <c r="F104" i="21"/>
  <c r="E105" i="21"/>
  <c r="F105" i="21"/>
  <c r="E106" i="21"/>
  <c r="F106" i="21"/>
  <c r="E107" i="21"/>
  <c r="F107" i="21"/>
  <c r="E108" i="21"/>
  <c r="F108" i="21"/>
  <c r="E109" i="21"/>
  <c r="F109" i="21"/>
  <c r="F6" i="21"/>
  <c r="E6" i="21"/>
  <c r="C8" i="22"/>
  <c r="D6" i="22"/>
  <c r="I6" i="22"/>
  <c r="H7" i="22"/>
  <c r="D7" i="22"/>
  <c r="I7" i="22"/>
  <c r="H6" i="22"/>
  <c r="H5" i="22"/>
  <c r="C3" i="14"/>
  <c r="C6" i="14"/>
  <c r="C8" i="14"/>
  <c r="C9" i="14"/>
  <c r="D5" i="22"/>
  <c r="D12" i="7"/>
  <c r="C11" i="3"/>
  <c r="C7" i="14" s="1"/>
  <c r="M24" i="14" s="1"/>
  <c r="D8" i="22"/>
  <c r="I5" i="22"/>
  <c r="I8" i="22"/>
  <c r="C5" i="12"/>
  <c r="C4" i="12"/>
  <c r="J67" i="3"/>
  <c r="K67" i="3"/>
  <c r="L66" i="3"/>
  <c r="H66" i="3"/>
  <c r="I66" i="3"/>
  <c r="I65" i="3"/>
  <c r="D66" i="3"/>
  <c r="L65" i="3"/>
  <c r="K65" i="3"/>
  <c r="J65" i="3"/>
  <c r="H65" i="3"/>
  <c r="G65" i="3"/>
  <c r="F65" i="3"/>
  <c r="E65" i="3"/>
  <c r="D65" i="3"/>
  <c r="C65" i="3"/>
  <c r="D63" i="3"/>
  <c r="E63" i="3"/>
  <c r="F63" i="3"/>
  <c r="G63" i="3"/>
  <c r="H63" i="3"/>
  <c r="I63" i="3"/>
  <c r="J63" i="3"/>
  <c r="K63" i="3"/>
  <c r="L63" i="3"/>
  <c r="D62" i="3"/>
  <c r="E62" i="3"/>
  <c r="F62" i="3"/>
  <c r="G62" i="3"/>
  <c r="H62" i="3"/>
  <c r="I62" i="3"/>
  <c r="J62" i="3"/>
  <c r="K62" i="3"/>
  <c r="L62" i="3"/>
  <c r="D61" i="3"/>
  <c r="E61" i="3"/>
  <c r="F61" i="3"/>
  <c r="D60" i="3"/>
  <c r="C60" i="3"/>
  <c r="L55" i="3"/>
  <c r="K55" i="3"/>
  <c r="J55" i="3"/>
  <c r="I55" i="3"/>
  <c r="H55" i="3"/>
  <c r="G55" i="3"/>
  <c r="F55" i="3"/>
  <c r="E55" i="3"/>
  <c r="D55" i="3"/>
  <c r="C55" i="3"/>
  <c r="F60" i="3"/>
  <c r="G61" i="3"/>
  <c r="E60" i="3"/>
  <c r="C5" i="16"/>
  <c r="C4" i="16"/>
  <c r="Y16" i="21"/>
  <c r="G60" i="3"/>
  <c r="H61" i="3"/>
  <c r="C21" i="16"/>
  <c r="C6" i="7"/>
  <c r="C11" i="7"/>
  <c r="C13" i="7"/>
  <c r="D13" i="7"/>
  <c r="E13" i="7"/>
  <c r="F13" i="7"/>
  <c r="G13" i="7"/>
  <c r="H13" i="7"/>
  <c r="I13" i="7"/>
  <c r="J13" i="7"/>
  <c r="K13" i="7"/>
  <c r="C5" i="2"/>
  <c r="J16" i="5"/>
  <c r="K16" i="5"/>
  <c r="C5" i="1"/>
  <c r="C16" i="1"/>
  <c r="D16" i="1"/>
  <c r="E16" i="1"/>
  <c r="F16" i="1"/>
  <c r="G16" i="1"/>
  <c r="H16" i="1"/>
  <c r="I16" i="1"/>
  <c r="J16" i="1"/>
  <c r="K16" i="1"/>
  <c r="L16" i="1"/>
  <c r="C4" i="1"/>
  <c r="C15" i="1"/>
  <c r="C18" i="1"/>
  <c r="C6" i="1"/>
  <c r="C17" i="1"/>
  <c r="D17" i="1"/>
  <c r="E17" i="1"/>
  <c r="F17" i="1"/>
  <c r="G17" i="1"/>
  <c r="H17" i="1"/>
  <c r="I17" i="1"/>
  <c r="J17" i="1"/>
  <c r="K17" i="1"/>
  <c r="L17" i="1"/>
  <c r="D11" i="5"/>
  <c r="E11" i="5"/>
  <c r="F11" i="5"/>
  <c r="G11" i="5"/>
  <c r="H11" i="5"/>
  <c r="I11" i="5"/>
  <c r="J11" i="5"/>
  <c r="K11" i="5"/>
  <c r="L11" i="5"/>
  <c r="C7" i="7"/>
  <c r="C16" i="7"/>
  <c r="C4" i="2"/>
  <c r="N7" i="9"/>
  <c r="D10" i="5"/>
  <c r="D15" i="5"/>
  <c r="E10" i="5"/>
  <c r="F10" i="5"/>
  <c r="G10" i="5"/>
  <c r="H10" i="5"/>
  <c r="H15" i="5"/>
  <c r="I10" i="5"/>
  <c r="I15" i="5"/>
  <c r="J10" i="5"/>
  <c r="K10" i="5"/>
  <c r="L10" i="5"/>
  <c r="L15" i="5"/>
  <c r="D12" i="5"/>
  <c r="E12" i="5"/>
  <c r="F12" i="5"/>
  <c r="G12" i="5"/>
  <c r="H12" i="5"/>
  <c r="I12" i="5"/>
  <c r="J12" i="5"/>
  <c r="K12" i="5"/>
  <c r="L12" i="5"/>
  <c r="C8" i="2"/>
  <c r="C6" i="2"/>
  <c r="B8" i="2"/>
  <c r="L15" i="2"/>
  <c r="M10" i="9"/>
  <c r="D15" i="2"/>
  <c r="F15" i="2"/>
  <c r="H24" i="2"/>
  <c r="E15" i="2"/>
  <c r="F23" i="2"/>
  <c r="G15" i="2"/>
  <c r="J25" i="2"/>
  <c r="H15" i="2"/>
  <c r="I26" i="2"/>
  <c r="K15" i="2"/>
  <c r="L10" i="9"/>
  <c r="I15" i="2"/>
  <c r="L27" i="2"/>
  <c r="J15" i="2"/>
  <c r="K10" i="9"/>
  <c r="I61" i="3"/>
  <c r="H60" i="3"/>
  <c r="C12" i="7"/>
  <c r="C14" i="7"/>
  <c r="C22" i="5"/>
  <c r="C8" i="12"/>
  <c r="D15" i="1"/>
  <c r="G22" i="2"/>
  <c r="C15" i="2"/>
  <c r="C14" i="2"/>
  <c r="D4" i="9"/>
  <c r="L29" i="2"/>
  <c r="C10" i="12"/>
  <c r="C9" i="12"/>
  <c r="C20" i="2"/>
  <c r="C30" i="2"/>
  <c r="C16" i="2"/>
  <c r="C12" i="12"/>
  <c r="I20" i="2"/>
  <c r="J20" i="2"/>
  <c r="K20" i="2"/>
  <c r="D20" i="2"/>
  <c r="L20" i="2"/>
  <c r="G20" i="2"/>
  <c r="H20" i="2"/>
  <c r="E20" i="2"/>
  <c r="F20" i="2"/>
  <c r="D21" i="2"/>
  <c r="J21" i="2"/>
  <c r="H21" i="2"/>
  <c r="K21" i="2"/>
  <c r="L21" i="2"/>
  <c r="F21" i="2"/>
  <c r="E21" i="2"/>
  <c r="G21" i="2"/>
  <c r="I21" i="2"/>
  <c r="E22" i="2"/>
  <c r="J22" i="2"/>
  <c r="J27" i="2"/>
  <c r="K27" i="2"/>
  <c r="C10" i="9"/>
  <c r="C11" i="9"/>
  <c r="C14" i="9"/>
  <c r="C18" i="7"/>
  <c r="C19" i="7"/>
  <c r="G23" i="2"/>
  <c r="K22" i="2"/>
  <c r="L23" i="2"/>
  <c r="I60" i="3"/>
  <c r="J61" i="3"/>
  <c r="J10" i="9"/>
  <c r="F10" i="9"/>
  <c r="E10" i="9"/>
  <c r="L28" i="2"/>
  <c r="K28" i="2"/>
  <c r="J23" i="2"/>
  <c r="K23" i="2"/>
  <c r="K25" i="2"/>
  <c r="H23" i="2"/>
  <c r="I10" i="9"/>
  <c r="K26" i="2"/>
  <c r="L26" i="2"/>
  <c r="J26" i="2"/>
  <c r="F22" i="2"/>
  <c r="G10" i="9"/>
  <c r="I23" i="2"/>
  <c r="H10" i="9"/>
  <c r="H25" i="2"/>
  <c r="I25" i="2"/>
  <c r="L25" i="2"/>
  <c r="C14" i="14"/>
  <c r="D11" i="7"/>
  <c r="K24" i="2"/>
  <c r="D10" i="9"/>
  <c r="L24" i="2"/>
  <c r="H22" i="2"/>
  <c r="I22" i="2"/>
  <c r="L22" i="2"/>
  <c r="I24" i="2"/>
  <c r="D18" i="1"/>
  <c r="E15" i="1"/>
  <c r="J24" i="2"/>
  <c r="G24" i="2"/>
  <c r="C3" i="7"/>
  <c r="D6" i="9"/>
  <c r="D5" i="9"/>
  <c r="C17" i="2"/>
  <c r="D14" i="2"/>
  <c r="D30" i="2"/>
  <c r="D16" i="2"/>
  <c r="D12" i="12"/>
  <c r="C11" i="12"/>
  <c r="C13" i="12"/>
  <c r="G30" i="2"/>
  <c r="G16" i="2"/>
  <c r="G12" i="12"/>
  <c r="J60" i="3"/>
  <c r="K61" i="3"/>
  <c r="E30" i="2"/>
  <c r="E16" i="2"/>
  <c r="E12" i="12"/>
  <c r="I30" i="2"/>
  <c r="I16" i="2"/>
  <c r="I12" i="12"/>
  <c r="H30" i="2"/>
  <c r="H16" i="2"/>
  <c r="H12" i="12"/>
  <c r="L30" i="2"/>
  <c r="L16" i="2"/>
  <c r="L12" i="12"/>
  <c r="F30" i="2"/>
  <c r="F16" i="2"/>
  <c r="F12" i="12"/>
  <c r="K30" i="2"/>
  <c r="K16" i="2"/>
  <c r="K12" i="12"/>
  <c r="J30" i="2"/>
  <c r="J16" i="2"/>
  <c r="J12" i="12"/>
  <c r="D7" i="9"/>
  <c r="F15" i="1"/>
  <c r="E18" i="1"/>
  <c r="D22" i="5"/>
  <c r="E4" i="9"/>
  <c r="D8" i="12"/>
  <c r="D17" i="2"/>
  <c r="E14" i="2"/>
  <c r="D12" i="9"/>
  <c r="F12" i="7"/>
  <c r="F12" i="9"/>
  <c r="H12" i="7"/>
  <c r="H12" i="9"/>
  <c r="J12" i="7"/>
  <c r="J12" i="9"/>
  <c r="L12" i="7"/>
  <c r="L12" i="9"/>
  <c r="M12" i="7"/>
  <c r="M12" i="9"/>
  <c r="G12" i="7"/>
  <c r="G12" i="9"/>
  <c r="K12" i="7"/>
  <c r="K12" i="9"/>
  <c r="D16" i="7"/>
  <c r="E12" i="7"/>
  <c r="E12" i="9"/>
  <c r="I12" i="7"/>
  <c r="I12" i="9"/>
  <c r="D10" i="12"/>
  <c r="D9" i="12"/>
  <c r="E17" i="2"/>
  <c r="F14" i="2"/>
  <c r="F17" i="2"/>
  <c r="L61" i="3"/>
  <c r="L60" i="3"/>
  <c r="K60" i="3"/>
  <c r="D14" i="7"/>
  <c r="D14" i="14"/>
  <c r="E5" i="9"/>
  <c r="E6" i="9"/>
  <c r="C14" i="12"/>
  <c r="C15" i="12"/>
  <c r="C16" i="12"/>
  <c r="D13" i="9"/>
  <c r="F4" i="9"/>
  <c r="E22" i="5"/>
  <c r="E8" i="12"/>
  <c r="G15" i="1"/>
  <c r="F18" i="1"/>
  <c r="E9" i="12"/>
  <c r="E10" i="12"/>
  <c r="G14" i="2"/>
  <c r="G17" i="2"/>
  <c r="E7" i="9"/>
  <c r="E11" i="7"/>
  <c r="E16" i="7"/>
  <c r="D8" i="9"/>
  <c r="F22" i="5"/>
  <c r="F8" i="12"/>
  <c r="G4" i="9"/>
  <c r="H15" i="1"/>
  <c r="G18" i="1"/>
  <c r="F5" i="9"/>
  <c r="F6" i="9"/>
  <c r="D11" i="12"/>
  <c r="D13" i="12"/>
  <c r="F14" i="5"/>
  <c r="J9" i="5"/>
  <c r="C4" i="5"/>
  <c r="J4" i="5"/>
  <c r="K9" i="5"/>
  <c r="D14" i="5"/>
  <c r="K14" i="5"/>
  <c r="E9" i="5"/>
  <c r="J14" i="5"/>
  <c r="F9" i="5"/>
  <c r="I14" i="5"/>
  <c r="H9" i="5"/>
  <c r="E14" i="5"/>
  <c r="H4" i="5"/>
  <c r="G4" i="5"/>
  <c r="C9" i="5"/>
  <c r="G14" i="5"/>
  <c r="I4" i="5"/>
  <c r="E4" i="5"/>
  <c r="C14" i="5"/>
  <c r="D4" i="5"/>
  <c r="L9" i="5"/>
  <c r="H14" i="5"/>
  <c r="L4" i="5"/>
  <c r="G9" i="5"/>
  <c r="F4" i="5"/>
  <c r="K4" i="5"/>
  <c r="L14" i="5"/>
  <c r="D9" i="5"/>
  <c r="I9" i="5"/>
  <c r="E14" i="7"/>
  <c r="F11" i="7"/>
  <c r="F10" i="12"/>
  <c r="F9" i="12"/>
  <c r="H14" i="2"/>
  <c r="H17" i="2"/>
  <c r="F7" i="9"/>
  <c r="E11" i="12"/>
  <c r="E13" i="12"/>
  <c r="I15" i="1"/>
  <c r="H18" i="1"/>
  <c r="D14" i="12"/>
  <c r="D15" i="12"/>
  <c r="D16" i="12"/>
  <c r="E13" i="9"/>
  <c r="E14" i="14"/>
  <c r="H4" i="9"/>
  <c r="G22" i="5"/>
  <c r="G8" i="12"/>
  <c r="G5" i="9"/>
  <c r="G6" i="9"/>
  <c r="C17" i="12"/>
  <c r="G10" i="12"/>
  <c r="G9" i="12"/>
  <c r="I14" i="2"/>
  <c r="I17" i="2"/>
  <c r="G7" i="9"/>
  <c r="E8" i="9"/>
  <c r="H5" i="9"/>
  <c r="H6" i="9"/>
  <c r="F11" i="12"/>
  <c r="F13" i="12"/>
  <c r="F14" i="7"/>
  <c r="F16" i="7"/>
  <c r="H8" i="12"/>
  <c r="I4" i="9"/>
  <c r="H22" i="5"/>
  <c r="I18" i="1"/>
  <c r="J15" i="1"/>
  <c r="D8" i="16"/>
  <c r="C15" i="14"/>
  <c r="H7" i="9"/>
  <c r="H9" i="12"/>
  <c r="H10" i="12"/>
  <c r="J14" i="2"/>
  <c r="J17" i="2"/>
  <c r="G11" i="12"/>
  <c r="G13" i="12"/>
  <c r="I6" i="9"/>
  <c r="I5" i="9"/>
  <c r="K15" i="1"/>
  <c r="J18" i="1"/>
  <c r="I22" i="5"/>
  <c r="I8" i="12"/>
  <c r="J4" i="9"/>
  <c r="E14" i="12"/>
  <c r="E15" i="12"/>
  <c r="E16" i="12"/>
  <c r="F13" i="9"/>
  <c r="D17" i="12"/>
  <c r="F14" i="14"/>
  <c r="G11" i="7"/>
  <c r="C16" i="14"/>
  <c r="C18" i="14"/>
  <c r="D11" i="16"/>
  <c r="D13" i="16"/>
  <c r="D9" i="16"/>
  <c r="I7" i="9"/>
  <c r="I9" i="12"/>
  <c r="I10" i="12"/>
  <c r="K14" i="2"/>
  <c r="K17" i="2"/>
  <c r="H11" i="12"/>
  <c r="H13" i="12"/>
  <c r="G16" i="7"/>
  <c r="G14" i="7"/>
  <c r="J5" i="9"/>
  <c r="J6" i="9"/>
  <c r="J22" i="5"/>
  <c r="J8" i="12"/>
  <c r="K4" i="9"/>
  <c r="F8" i="9"/>
  <c r="K18" i="1"/>
  <c r="L15" i="1"/>
  <c r="L18" i="1"/>
  <c r="C19" i="14"/>
  <c r="C20" i="14"/>
  <c r="I11" i="12"/>
  <c r="I13" i="12"/>
  <c r="J9" i="12"/>
  <c r="J10" i="12"/>
  <c r="L14" i="2"/>
  <c r="L17" i="2"/>
  <c r="J7" i="9"/>
  <c r="M4" i="9"/>
  <c r="L8" i="12"/>
  <c r="L22" i="5"/>
  <c r="K22" i="5"/>
  <c r="K8" i="12"/>
  <c r="L4" i="9"/>
  <c r="E17" i="12"/>
  <c r="K5" i="9"/>
  <c r="K6" i="9"/>
  <c r="H11" i="7"/>
  <c r="G14" i="14"/>
  <c r="G13" i="9"/>
  <c r="F14" i="12"/>
  <c r="F15" i="12"/>
  <c r="F16" i="12"/>
  <c r="J11" i="12"/>
  <c r="J13" i="12"/>
  <c r="C23" i="14"/>
  <c r="L10" i="12"/>
  <c r="L9" i="12"/>
  <c r="K9" i="12"/>
  <c r="K10" i="12"/>
  <c r="L5" i="9"/>
  <c r="L6" i="9"/>
  <c r="H14" i="7"/>
  <c r="H16" i="7"/>
  <c r="M5" i="9"/>
  <c r="M6" i="9"/>
  <c r="G8" i="9"/>
  <c r="K7" i="9"/>
  <c r="K11" i="12"/>
  <c r="K13" i="12"/>
  <c r="L11" i="12"/>
  <c r="L13" i="12"/>
  <c r="M7" i="9"/>
  <c r="F17" i="12"/>
  <c r="L7" i="9"/>
  <c r="H13" i="9"/>
  <c r="G14" i="12"/>
  <c r="G15" i="12"/>
  <c r="G16" i="12"/>
  <c r="H14" i="14"/>
  <c r="I11" i="7"/>
  <c r="I16" i="7"/>
  <c r="I14" i="7"/>
  <c r="H8" i="9"/>
  <c r="G17" i="12"/>
  <c r="I14" i="14"/>
  <c r="J11" i="7"/>
  <c r="H14" i="12"/>
  <c r="H15" i="12"/>
  <c r="H16" i="12"/>
  <c r="I13" i="9"/>
  <c r="I8" i="9"/>
  <c r="J14" i="7"/>
  <c r="J16" i="7"/>
  <c r="H17" i="12"/>
  <c r="J13" i="9"/>
  <c r="I14" i="12"/>
  <c r="I15" i="12"/>
  <c r="I16" i="12"/>
  <c r="K11" i="7"/>
  <c r="J14" i="14"/>
  <c r="K16" i="7"/>
  <c r="K14" i="7"/>
  <c r="J8" i="9"/>
  <c r="I17" i="12"/>
  <c r="L11" i="7"/>
  <c r="K14" i="14"/>
  <c r="J14" i="12"/>
  <c r="J15" i="12"/>
  <c r="J16" i="12"/>
  <c r="K13" i="9"/>
  <c r="K8" i="9"/>
  <c r="L14" i="7"/>
  <c r="L16" i="7"/>
  <c r="K14" i="12"/>
  <c r="K15" i="12"/>
  <c r="K16" i="12"/>
  <c r="L13" i="9"/>
  <c r="J17" i="12"/>
  <c r="L14" i="14"/>
  <c r="M11" i="7"/>
  <c r="M14" i="7"/>
  <c r="M16" i="7"/>
  <c r="L8" i="9"/>
  <c r="L14" i="12"/>
  <c r="L15" i="12"/>
  <c r="L16" i="12"/>
  <c r="M13" i="9"/>
  <c r="K17" i="12"/>
  <c r="M14" i="14"/>
  <c r="O11" i="9"/>
  <c r="M8" i="9"/>
  <c r="L17" i="12"/>
  <c r="K8" i="21"/>
  <c r="AA16" i="21"/>
  <c r="K9" i="21"/>
  <c r="K10" i="21"/>
  <c r="E24" i="14" l="1"/>
  <c r="D23" i="5"/>
  <c r="D24" i="5" s="1"/>
  <c r="K23" i="5"/>
  <c r="K24" i="5" s="1"/>
  <c r="F24" i="14"/>
  <c r="C24" i="14"/>
  <c r="C25" i="14" s="1"/>
  <c r="C27" i="14" s="1"/>
  <c r="C29" i="14" s="1"/>
  <c r="J24" i="14"/>
  <c r="L24" i="14"/>
  <c r="H24" i="14"/>
  <c r="D24" i="14"/>
  <c r="G24" i="14"/>
  <c r="K24" i="14"/>
  <c r="I24" i="14"/>
  <c r="E23" i="5"/>
  <c r="E24" i="5" s="1"/>
  <c r="H23" i="5"/>
  <c r="H24" i="5" s="1"/>
  <c r="F23" i="5"/>
  <c r="F24" i="5" s="1"/>
  <c r="I23" i="5"/>
  <c r="I24" i="5" s="1"/>
  <c r="J23" i="5"/>
  <c r="J24" i="5" s="1"/>
  <c r="G23" i="5"/>
  <c r="G24" i="5" s="1"/>
  <c r="L23" i="5"/>
  <c r="L24" i="5" s="1"/>
  <c r="C23" i="5"/>
  <c r="C24" i="5" s="1"/>
  <c r="C25" i="5" s="1"/>
  <c r="D9" i="9" s="1"/>
  <c r="D11" i="9" s="1"/>
  <c r="E25" i="5" l="1"/>
  <c r="F9" i="9" s="1"/>
  <c r="F11" i="9" s="1"/>
  <c r="F14" i="9" s="1"/>
  <c r="F18" i="7" s="1"/>
  <c r="K25" i="5"/>
  <c r="L9" i="9" s="1"/>
  <c r="L11" i="9" s="1"/>
  <c r="M8" i="16" s="1"/>
  <c r="M9" i="16" s="1"/>
  <c r="L25" i="5"/>
  <c r="M9" i="9" s="1"/>
  <c r="M11" i="9" s="1"/>
  <c r="F25" i="5"/>
  <c r="G9" i="9" s="1"/>
  <c r="G11" i="9" s="1"/>
  <c r="G14" i="9" s="1"/>
  <c r="G18" i="7" s="1"/>
  <c r="G25" i="5"/>
  <c r="H9" i="9" s="1"/>
  <c r="H11" i="9" s="1"/>
  <c r="I8" i="16" s="1"/>
  <c r="I9" i="16" s="1"/>
  <c r="I25" i="5"/>
  <c r="J9" i="9" s="1"/>
  <c r="J11" i="9" s="1"/>
  <c r="K8" i="16" s="1"/>
  <c r="G8" i="16"/>
  <c r="G9" i="16" s="1"/>
  <c r="D25" i="5"/>
  <c r="E9" i="9" s="1"/>
  <c r="E11" i="9" s="1"/>
  <c r="F8" i="16" s="1"/>
  <c r="J25" i="5"/>
  <c r="K9" i="9" s="1"/>
  <c r="K11" i="9" s="1"/>
  <c r="L8" i="16" s="1"/>
  <c r="L9" i="16" s="1"/>
  <c r="L14" i="9"/>
  <c r="L18" i="7" s="1"/>
  <c r="H25" i="5"/>
  <c r="I9" i="9" s="1"/>
  <c r="I11" i="9" s="1"/>
  <c r="J8" i="16" s="1"/>
  <c r="H8" i="16"/>
  <c r="E8" i="16"/>
  <c r="D14" i="9"/>
  <c r="D18" i="7" s="1"/>
  <c r="D19" i="7" s="1"/>
  <c r="D15" i="14" s="1"/>
  <c r="M14" i="9"/>
  <c r="M18" i="7" s="1"/>
  <c r="N8" i="16"/>
  <c r="J14" i="9" l="1"/>
  <c r="J18" i="7" s="1"/>
  <c r="H14" i="9"/>
  <c r="H18" i="7" s="1"/>
  <c r="E14" i="9"/>
  <c r="E18" i="7" s="1"/>
  <c r="E19" i="7" s="1"/>
  <c r="K14" i="9"/>
  <c r="K18" i="7" s="1"/>
  <c r="I14" i="9"/>
  <c r="I18" i="7" s="1"/>
  <c r="D16" i="14"/>
  <c r="D18" i="14" s="1"/>
  <c r="F9" i="16"/>
  <c r="E9" i="16"/>
  <c r="D17" i="16" s="1"/>
  <c r="K9" i="16"/>
  <c r="H9" i="16"/>
  <c r="N9" i="16"/>
  <c r="J9" i="16"/>
  <c r="E15" i="14" l="1"/>
  <c r="F19" i="7"/>
  <c r="D19" i="14"/>
  <c r="D20" i="14" s="1"/>
  <c r="D23" i="14" l="1"/>
  <c r="D25" i="14" s="1"/>
  <c r="D27" i="14" s="1"/>
  <c r="D29" i="14" s="1"/>
  <c r="E10" i="16" s="1"/>
  <c r="E11" i="16" s="1"/>
  <c r="E13" i="16" s="1"/>
  <c r="F15" i="14"/>
  <c r="G19" i="7"/>
  <c r="E16" i="14"/>
  <c r="E18" i="14" s="1"/>
  <c r="E19" i="14" l="1"/>
  <c r="E23" i="14" s="1"/>
  <c r="E25" i="14" s="1"/>
  <c r="E27" i="14" s="1"/>
  <c r="E29" i="14" s="1"/>
  <c r="F10" i="16" s="1"/>
  <c r="F11" i="16" s="1"/>
  <c r="F13" i="16" s="1"/>
  <c r="G15" i="14"/>
  <c r="H19" i="7"/>
  <c r="F16" i="14"/>
  <c r="F18" i="14" s="1"/>
  <c r="E20" i="14" l="1"/>
  <c r="F19" i="14"/>
  <c r="F20" i="14" s="1"/>
  <c r="H15" i="14"/>
  <c r="I19" i="7"/>
  <c r="G16" i="14"/>
  <c r="G18" i="14" s="1"/>
  <c r="F23" i="14" l="1"/>
  <c r="F25" i="14" s="1"/>
  <c r="F27" i="14" s="1"/>
  <c r="F29" i="14" s="1"/>
  <c r="G10" i="16" s="1"/>
  <c r="G11" i="16" s="1"/>
  <c r="G13" i="16" s="1"/>
  <c r="G19" i="14"/>
  <c r="G23" i="14" s="1"/>
  <c r="G25" i="14" s="1"/>
  <c r="G27" i="14" s="1"/>
  <c r="G29" i="14" s="1"/>
  <c r="H10" i="16" s="1"/>
  <c r="H11" i="16" s="1"/>
  <c r="H13" i="16" s="1"/>
  <c r="H16" i="14"/>
  <c r="H18" i="14" s="1"/>
  <c r="I15" i="14"/>
  <c r="J19" i="7"/>
  <c r="G20" i="14" l="1"/>
  <c r="I16" i="14"/>
  <c r="I18" i="14" s="1"/>
  <c r="J15" i="14"/>
  <c r="K19" i="7"/>
  <c r="H19" i="14"/>
  <c r="H23" i="14" s="1"/>
  <c r="H25" i="14" s="1"/>
  <c r="H27" i="14" s="1"/>
  <c r="H29" i="14" s="1"/>
  <c r="I10" i="16" s="1"/>
  <c r="I11" i="16" s="1"/>
  <c r="I13" i="16" s="1"/>
  <c r="H20" i="14" l="1"/>
  <c r="J16" i="14"/>
  <c r="J18" i="14" s="1"/>
  <c r="K15" i="14"/>
  <c r="L19" i="7"/>
  <c r="I19" i="14"/>
  <c r="I23" i="14" s="1"/>
  <c r="I25" i="14" s="1"/>
  <c r="I27" i="14" s="1"/>
  <c r="I29" i="14" l="1"/>
  <c r="J10" i="16" s="1"/>
  <c r="J11" i="16" s="1"/>
  <c r="J13" i="16" s="1"/>
  <c r="L15" i="14"/>
  <c r="M19" i="7"/>
  <c r="M15" i="14" s="1"/>
  <c r="K16" i="14"/>
  <c r="K18" i="14" s="1"/>
  <c r="I20" i="14"/>
  <c r="J19" i="14"/>
  <c r="J20" i="14" s="1"/>
  <c r="J23" i="14" l="1"/>
  <c r="J25" i="14" s="1"/>
  <c r="J27" i="14" s="1"/>
  <c r="J29" i="14" s="1"/>
  <c r="K10" i="16" s="1"/>
  <c r="K11" i="16" s="1"/>
  <c r="K13" i="16" s="1"/>
  <c r="K19" i="14"/>
  <c r="K20" i="14" s="1"/>
  <c r="M16" i="14"/>
  <c r="M18" i="14" s="1"/>
  <c r="L16" i="14"/>
  <c r="L18" i="14" s="1"/>
  <c r="K23" i="14" l="1"/>
  <c r="K25" i="14" s="1"/>
  <c r="K27" i="14" s="1"/>
  <c r="K29" i="14" s="1"/>
  <c r="L10" i="16" s="1"/>
  <c r="L11" i="16" s="1"/>
  <c r="L13" i="16" s="1"/>
  <c r="M19" i="14"/>
  <c r="M23" i="14" s="1"/>
  <c r="M25" i="14" s="1"/>
  <c r="M27" i="14" s="1"/>
  <c r="M29" i="14" s="1"/>
  <c r="N10" i="16" s="1"/>
  <c r="L19" i="14"/>
  <c r="L20" i="14" s="1"/>
  <c r="L23" i="14" l="1"/>
  <c r="L25" i="14" s="1"/>
  <c r="L27" i="14" s="1"/>
  <c r="L29" i="14" s="1"/>
  <c r="M10" i="16" s="1"/>
  <c r="M11" i="16" s="1"/>
  <c r="M13" i="16" s="1"/>
  <c r="M20" i="14"/>
  <c r="N12" i="16"/>
  <c r="N11" i="16"/>
  <c r="N13" i="16" l="1"/>
  <c r="D15" i="16" s="1"/>
  <c r="D21" i="16" s="1"/>
</calcChain>
</file>

<file path=xl/sharedStrings.xml><?xml version="1.0" encoding="utf-8"?>
<sst xmlns="http://schemas.openxmlformats.org/spreadsheetml/2006/main" count="235" uniqueCount="146">
  <si>
    <t>Investment plan</t>
  </si>
  <si>
    <t>Estimated initial investment (in EUR)</t>
  </si>
  <si>
    <t>D&amp;A</t>
  </si>
  <si>
    <t>Selected case</t>
  </si>
  <si>
    <t>Drivers</t>
  </si>
  <si>
    <t>Capex</t>
  </si>
  <si>
    <t>in EUR</t>
  </si>
  <si>
    <t>Fixed asset roll-forward</t>
  </si>
  <si>
    <t>Beginning PP&amp;E</t>
  </si>
  <si>
    <t>Ending PP&amp;E</t>
  </si>
  <si>
    <t>D&amp;A schedule (in EUR)</t>
  </si>
  <si>
    <t>Capex Year 1</t>
  </si>
  <si>
    <t>Capex Year 2</t>
  </si>
  <si>
    <t>Capex Year 3</t>
  </si>
  <si>
    <t xml:space="preserve"> </t>
  </si>
  <si>
    <t>Delta Working Capital</t>
  </si>
  <si>
    <t>Financing</t>
  </si>
  <si>
    <t xml:space="preserve">Operating Cash Flow </t>
  </si>
  <si>
    <t>P&amp;L</t>
  </si>
  <si>
    <t>EBIT</t>
  </si>
  <si>
    <t>EBT</t>
  </si>
  <si>
    <t>Taxes</t>
  </si>
  <si>
    <t>Net Income</t>
  </si>
  <si>
    <t>10 years</t>
  </si>
  <si>
    <t>Investment in Year 0</t>
  </si>
  <si>
    <t>Net Cash Flow</t>
  </si>
  <si>
    <t>Capex Year 4</t>
  </si>
  <si>
    <t>Capex Year 5</t>
  </si>
  <si>
    <t>Capex Year 6</t>
  </si>
  <si>
    <t>Capex Year 7</t>
  </si>
  <si>
    <t>Capex Year 8</t>
  </si>
  <si>
    <t>Capex Year 9</t>
  </si>
  <si>
    <t>Capex Year 10</t>
  </si>
  <si>
    <t>Residual Value</t>
  </si>
  <si>
    <t>WACC</t>
  </si>
  <si>
    <t>Discounted Cash Flow</t>
  </si>
  <si>
    <t>Discounted Cash Flows</t>
  </si>
  <si>
    <t>Cash Flow</t>
  </si>
  <si>
    <t>IRR</t>
  </si>
  <si>
    <t>Input --&gt;</t>
  </si>
  <si>
    <t>Output --&gt;</t>
  </si>
  <si>
    <t>Repayment %</t>
  </si>
  <si>
    <t>Repayment</t>
  </si>
  <si>
    <t>Ending Debt</t>
  </si>
  <si>
    <t>Beginning Debt</t>
  </si>
  <si>
    <t>Debt Facility (million EUR)</t>
  </si>
  <si>
    <t>Beta</t>
  </si>
  <si>
    <t>Total financing</t>
  </si>
  <si>
    <t>Debt / Equity</t>
  </si>
  <si>
    <t>Sum of Discounted Cash Flows (NPV)</t>
  </si>
  <si>
    <t>Discounted Cash Flow with Residual Value</t>
  </si>
  <si>
    <t>Present Value Residual Value</t>
  </si>
  <si>
    <t>Sensitivity analysis</t>
  </si>
  <si>
    <t>Workings --&gt;</t>
  </si>
  <si>
    <t>Depreciation Method</t>
  </si>
  <si>
    <t>Risk-free Rate</t>
  </si>
  <si>
    <t>Market Risk Premium (MRP)</t>
  </si>
  <si>
    <t>Growth Rates</t>
  </si>
  <si>
    <t>N/A</t>
  </si>
  <si>
    <t>Straight Line</t>
  </si>
  <si>
    <t>Revenue</t>
  </si>
  <si>
    <t>Days Sales Outstanding (DSO)</t>
  </si>
  <si>
    <t>Days Inventory Outstanding (DIO)</t>
  </si>
  <si>
    <t>Days Payable Outstanding (DPO)</t>
  </si>
  <si>
    <t>Cash Conversion Cycle (days)</t>
  </si>
  <si>
    <t>EBITDA</t>
  </si>
  <si>
    <t>Variable Expenses</t>
  </si>
  <si>
    <t>Fixed Expenses</t>
  </si>
  <si>
    <t>Currency</t>
  </si>
  <si>
    <t>Cost of Equity</t>
  </si>
  <si>
    <t>EUR</t>
  </si>
  <si>
    <t>Sales Year 1 (in EUR)</t>
  </si>
  <si>
    <t>Revenue (EUR)</t>
  </si>
  <si>
    <t>Debt (million EUR)</t>
  </si>
  <si>
    <t>Growth Rates (Sales)</t>
  </si>
  <si>
    <t>Expenses</t>
  </si>
  <si>
    <t xml:space="preserve">Working Capital </t>
  </si>
  <si>
    <t>DSO, DIO, DPO Projections</t>
  </si>
  <si>
    <t>Beta (Input Method)</t>
  </si>
  <si>
    <t>Variable Expenses (as % of Revenue)</t>
  </si>
  <si>
    <t>Fixed Expenses (excl. interest as % of Revenue)</t>
  </si>
  <si>
    <t>Risk-free in France</t>
  </si>
  <si>
    <t>D/E (Home Depot)</t>
  </si>
  <si>
    <t>Tax rate (Project)</t>
  </si>
  <si>
    <t>Market Value Equity ($,mm)</t>
  </si>
  <si>
    <t>Market Value Debt ($,mm)</t>
  </si>
  <si>
    <t>Tax</t>
  </si>
  <si>
    <t>Beta (Unlevered)</t>
  </si>
  <si>
    <t>Weighted Beta (Unlevered)</t>
  </si>
  <si>
    <t>Total</t>
  </si>
  <si>
    <t>Lowe's Companies Inc</t>
  </si>
  <si>
    <t>Floor &amp; Decor Holdings Inc</t>
  </si>
  <si>
    <t>Wayfair Inc.</t>
  </si>
  <si>
    <t>Proportion of Total (Equty)</t>
  </si>
  <si>
    <t>Operating Cash Flow  + Residual Value</t>
  </si>
  <si>
    <t>Date</t>
  </si>
  <si>
    <t>S&amp;P500</t>
  </si>
  <si>
    <t>Return (S&amp;P500)</t>
  </si>
  <si>
    <t>Method #1</t>
  </si>
  <si>
    <t>Variance of S&amp;P 500</t>
  </si>
  <si>
    <t>Method #2</t>
  </si>
  <si>
    <t>Home Depot</t>
  </si>
  <si>
    <t>Return (Home Depot)</t>
  </si>
  <si>
    <t>Home Depot Beta</t>
  </si>
  <si>
    <t>Covariance of HD and S&amp;P 500</t>
  </si>
  <si>
    <t>Market Risk Premium</t>
  </si>
  <si>
    <t>Case 1</t>
  </si>
  <si>
    <t>Case 2</t>
  </si>
  <si>
    <t>Case 3</t>
  </si>
  <si>
    <t>→</t>
  </si>
  <si>
    <t>Base Case</t>
  </si>
  <si>
    <t>Worst Case</t>
  </si>
  <si>
    <t>Best Case</t>
  </si>
  <si>
    <t>Investment Plan</t>
  </si>
  <si>
    <t>Estimated Initial Investment (in EUR)</t>
  </si>
  <si>
    <t>Loan Schedule</t>
  </si>
  <si>
    <t>Lifetime of the Investment (years)</t>
  </si>
  <si>
    <t>Residual Value of the Project</t>
  </si>
  <si>
    <t>Direct Input</t>
  </si>
  <si>
    <t>Beta (Direct Input)</t>
  </si>
  <si>
    <t>Interest Rate Debt Financing</t>
  </si>
  <si>
    <t>Selected Case</t>
  </si>
  <si>
    <t>Sales Forecast</t>
  </si>
  <si>
    <t>Working Capital</t>
  </si>
  <si>
    <t>Interest Expense</t>
  </si>
  <si>
    <t>Equity Financing</t>
  </si>
  <si>
    <t>Financing Facilities</t>
  </si>
  <si>
    <t>Repay Debt Facility In</t>
  </si>
  <si>
    <t>Interest Rate Debt Facility</t>
  </si>
  <si>
    <t>Fixed Expenses (excl. interest, as % of Revenue)</t>
  </si>
  <si>
    <t>Interest Expenses</t>
  </si>
  <si>
    <t>Debt Repayment</t>
  </si>
  <si>
    <t>Cost of Debt</t>
  </si>
  <si>
    <t>Market Risk Premium in France</t>
  </si>
  <si>
    <t>Tax Rate (Project)</t>
  </si>
  <si>
    <t>Tax Rate (Home Depot)</t>
  </si>
  <si>
    <t>Comparable Companies</t>
  </si>
  <si>
    <t>Project Beta:</t>
  </si>
  <si>
    <t>Beta Unlevered</t>
  </si>
  <si>
    <t>Total Financing %</t>
  </si>
  <si>
    <t>Debt Financing %</t>
  </si>
  <si>
    <t>Equity Financing %</t>
  </si>
  <si>
    <t>Debt Financing</t>
  </si>
  <si>
    <t>Beta (Comparable Companies)</t>
  </si>
  <si>
    <t>Beta (Regression)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</si>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</sst>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0.0000%"/>
    <numFmt numFmtId="167" formatCode="0.000%"/>
    <numFmt numFmtId="168" formatCode="#,##0.000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9"/>
      <color theme="0"/>
      <name val="Arial"/>
      <family val="2"/>
      <charset val="204"/>
    </font>
    <font>
      <b/>
      <sz val="9"/>
      <color rgb="FF002060"/>
      <name val="Arial"/>
      <family val="2"/>
      <charset val="204"/>
    </font>
    <font>
      <sz val="9"/>
      <color theme="1"/>
      <name val="Arial"/>
      <family val="2"/>
      <charset val="204"/>
    </font>
    <font>
      <b/>
      <sz val="40"/>
      <color rgb="FF002060"/>
      <name val="Arial"/>
      <family val="2"/>
      <charset val="204"/>
    </font>
    <font>
      <sz val="9"/>
      <color theme="1"/>
      <name val="Arial"/>
      <family val="2"/>
      <charset val="204"/>
    </font>
    <font>
      <b/>
      <sz val="40"/>
      <color rgb="FF002060"/>
      <name val="Arial"/>
      <family val="2"/>
      <charset val="204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b/>
      <sz val="12"/>
      <color rgb="FF0073B0"/>
      <name val="Arial"/>
      <family val="2"/>
    </font>
    <font>
      <b/>
      <sz val="9"/>
      <color rgb="FF0073B0"/>
      <name val="Arial"/>
      <family val="2"/>
      <charset val="204"/>
    </font>
    <font>
      <b/>
      <sz val="40"/>
      <color rgb="FF0073B0"/>
      <name val="Arial"/>
      <family val="2"/>
      <charset val="204"/>
    </font>
    <font>
      <b/>
      <sz val="9"/>
      <name val="Arial"/>
      <family val="2"/>
      <charset val="204"/>
    </font>
    <font>
      <b/>
      <i/>
      <sz val="9"/>
      <color rgb="FF0073B0"/>
      <name val="Arial"/>
      <family val="2"/>
    </font>
    <font>
      <sz val="9"/>
      <color rgb="FF0073B0"/>
      <name val="Arial"/>
      <family val="2"/>
    </font>
    <font>
      <sz val="11"/>
      <color theme="1"/>
      <name val="Arial"/>
      <family val="2"/>
    </font>
    <font>
      <b/>
      <sz val="9"/>
      <color rgb="FF0073B0"/>
      <name val="Arial"/>
      <family val="2"/>
    </font>
    <font>
      <b/>
      <sz val="9"/>
      <color rgb="FF002060"/>
      <name val="Arial"/>
      <family val="2"/>
    </font>
    <font>
      <u/>
      <sz val="9"/>
      <color theme="1"/>
      <name val="Arial"/>
      <family val="2"/>
    </font>
    <font>
      <b/>
      <sz val="9"/>
      <name val="Arial"/>
      <family val="2"/>
    </font>
    <font>
      <b/>
      <sz val="12"/>
      <color rgb="FF00206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rgb="FF0073B0"/>
        <bgColor indexed="64"/>
      </patternFill>
    </fill>
    <fill>
      <patternFill patternType="solid">
        <fgColor rgb="FF0073B0"/>
        <bgColor rgb="FF0073B0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rgb="FF002060"/>
      </top>
      <bottom style="medium">
        <color rgb="FF00206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rgb="FF0073B0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/>
      <top style="thin">
        <color rgb="FF0073B0"/>
      </top>
      <bottom style="medium">
        <color rgb="FF0073B0"/>
      </bottom>
      <diagonal/>
    </border>
    <border>
      <left/>
      <right/>
      <top style="medium">
        <color rgb="FF0073B0"/>
      </top>
      <bottom/>
      <diagonal/>
    </border>
    <border>
      <left/>
      <right/>
      <top style="medium">
        <color rgb="FF0073B0"/>
      </top>
      <bottom style="medium">
        <color rgb="FF0073B0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</cellStyleXfs>
  <cellXfs count="127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9" fontId="3" fillId="2" borderId="0" xfId="0" applyNumberFormat="1" applyFont="1" applyFill="1"/>
    <xf numFmtId="164" fontId="3" fillId="2" borderId="0" xfId="1" applyNumberFormat="1" applyFont="1" applyFill="1"/>
    <xf numFmtId="0" fontId="5" fillId="2" borderId="4" xfId="0" applyFont="1" applyFill="1" applyBorder="1"/>
    <xf numFmtId="164" fontId="5" fillId="2" borderId="4" xfId="1" applyNumberFormat="1" applyFont="1" applyFill="1" applyBorder="1"/>
    <xf numFmtId="164" fontId="3" fillId="2" borderId="0" xfId="1" applyNumberFormat="1" applyFont="1" applyFill="1" applyBorder="1"/>
    <xf numFmtId="0" fontId="5" fillId="2" borderId="0" xfId="0" applyFont="1" applyFill="1"/>
    <xf numFmtId="9" fontId="3" fillId="2" borderId="0" xfId="0" applyNumberFormat="1" applyFont="1" applyFill="1" applyAlignment="1">
      <alignment horizontal="right"/>
    </xf>
    <xf numFmtId="0" fontId="9" fillId="2" borderId="0" xfId="0" applyFont="1" applyFill="1"/>
    <xf numFmtId="0" fontId="10" fillId="2" borderId="0" xfId="0" applyFont="1" applyFill="1"/>
    <xf numFmtId="165" fontId="3" fillId="2" borderId="0" xfId="2" applyNumberFormat="1" applyFont="1" applyFill="1"/>
    <xf numFmtId="9" fontId="3" fillId="2" borderId="0" xfId="2" applyFont="1" applyFill="1" applyBorder="1"/>
    <xf numFmtId="166" fontId="3" fillId="2" borderId="0" xfId="2" applyNumberFormat="1" applyFont="1" applyFill="1"/>
    <xf numFmtId="9" fontId="11" fillId="2" borderId="0" xfId="2" applyFont="1" applyFill="1" applyBorder="1"/>
    <xf numFmtId="164" fontId="3" fillId="2" borderId="4" xfId="1" applyNumberFormat="1" applyFont="1" applyFill="1" applyBorder="1"/>
    <xf numFmtId="165" fontId="5" fillId="2" borderId="4" xfId="2" applyNumberFormat="1" applyFont="1" applyFill="1" applyBorder="1"/>
    <xf numFmtId="43" fontId="3" fillId="2" borderId="0" xfId="1" applyFont="1" applyFill="1"/>
    <xf numFmtId="43" fontId="5" fillId="2" borderId="4" xfId="1" applyFont="1" applyFill="1" applyBorder="1"/>
    <xf numFmtId="165" fontId="5" fillId="2" borderId="0" xfId="2" applyNumberFormat="1" applyFont="1" applyFill="1"/>
    <xf numFmtId="164" fontId="5" fillId="2" borderId="0" xfId="1" applyNumberFormat="1" applyFont="1" applyFill="1" applyBorder="1"/>
    <xf numFmtId="165" fontId="5" fillId="2" borderId="0" xfId="0" applyNumberFormat="1" applyFont="1" applyFill="1"/>
    <xf numFmtId="164" fontId="5" fillId="2" borderId="0" xfId="2" applyNumberFormat="1" applyFont="1" applyFill="1" applyBorder="1"/>
    <xf numFmtId="0" fontId="12" fillId="2" borderId="0" xfId="0" applyFont="1" applyFill="1"/>
    <xf numFmtId="0" fontId="13" fillId="2" borderId="0" xfId="0" applyFont="1" applyFill="1"/>
    <xf numFmtId="164" fontId="3" fillId="2" borderId="0" xfId="1" applyNumberFormat="1" applyFont="1" applyFill="1" applyBorder="1" applyAlignment="1">
      <alignment horizontal="left"/>
    </xf>
    <xf numFmtId="165" fontId="3" fillId="2" borderId="0" xfId="2" applyNumberFormat="1" applyFont="1" applyFill="1" applyBorder="1"/>
    <xf numFmtId="164" fontId="6" fillId="2" borderId="0" xfId="0" applyNumberFormat="1" applyFont="1" applyFill="1"/>
    <xf numFmtId="8" fontId="3" fillId="2" borderId="0" xfId="0" applyNumberFormat="1" applyFont="1" applyFill="1"/>
    <xf numFmtId="0" fontId="7" fillId="2" borderId="0" xfId="0" applyFont="1" applyFill="1" applyAlignment="1">
      <alignment horizontal="center"/>
    </xf>
    <xf numFmtId="10" fontId="3" fillId="2" borderId="0" xfId="0" applyNumberFormat="1" applyFont="1" applyFill="1"/>
    <xf numFmtId="0" fontId="14" fillId="2" borderId="0" xfId="0" applyFont="1" applyFill="1"/>
    <xf numFmtId="164" fontId="3" fillId="2" borderId="0" xfId="1" applyNumberFormat="1" applyFont="1" applyFill="1" applyAlignment="1">
      <alignment horizontal="right"/>
    </xf>
    <xf numFmtId="10" fontId="15" fillId="2" borderId="0" xfId="0" applyNumberFormat="1" applyFont="1" applyFill="1"/>
    <xf numFmtId="4" fontId="3" fillId="2" borderId="0" xfId="0" applyNumberFormat="1" applyFont="1" applyFill="1"/>
    <xf numFmtId="10" fontId="3" fillId="2" borderId="0" xfId="2" applyNumberFormat="1" applyFont="1" applyFill="1" applyBorder="1"/>
    <xf numFmtId="10" fontId="3" fillId="2" borderId="0" xfId="1" applyNumberFormat="1" applyFont="1" applyFill="1"/>
    <xf numFmtId="2" fontId="3" fillId="2" borderId="0" xfId="0" applyNumberFormat="1" applyFont="1" applyFill="1"/>
    <xf numFmtId="9" fontId="3" fillId="2" borderId="1" xfId="0" applyNumberFormat="1" applyFont="1" applyFill="1" applyBorder="1"/>
    <xf numFmtId="2" fontId="3" fillId="2" borderId="1" xfId="0" applyNumberFormat="1" applyFont="1" applyFill="1" applyBorder="1"/>
    <xf numFmtId="0" fontId="3" fillId="2" borderId="4" xfId="0" applyFont="1" applyFill="1" applyBorder="1"/>
    <xf numFmtId="8" fontId="3" fillId="2" borderId="4" xfId="0" applyNumberFormat="1" applyFont="1" applyFill="1" applyBorder="1"/>
    <xf numFmtId="9" fontId="3" fillId="2" borderId="4" xfId="0" applyNumberFormat="1" applyFont="1" applyFill="1" applyBorder="1"/>
    <xf numFmtId="0" fontId="15" fillId="0" borderId="0" xfId="3" applyFont="1" applyAlignment="1">
      <alignment horizontal="center" vertical="center"/>
    </xf>
    <xf numFmtId="0" fontId="15" fillId="0" borderId="0" xfId="3" applyFont="1"/>
    <xf numFmtId="0" fontId="15" fillId="2" borderId="0" xfId="3" applyFont="1" applyFill="1"/>
    <xf numFmtId="0" fontId="15" fillId="2" borderId="5" xfId="3" applyFont="1" applyFill="1" applyBorder="1"/>
    <xf numFmtId="14" fontId="15" fillId="0" borderId="0" xfId="3" applyNumberFormat="1" applyFont="1" applyAlignment="1">
      <alignment horizontal="center" vertical="center"/>
    </xf>
    <xf numFmtId="2" fontId="15" fillId="0" borderId="0" xfId="3" applyNumberFormat="1" applyFont="1" applyAlignment="1">
      <alignment horizontal="center" vertical="center"/>
    </xf>
    <xf numFmtId="10" fontId="15" fillId="0" borderId="0" xfId="3" applyNumberFormat="1" applyFont="1" applyAlignment="1">
      <alignment horizontal="center" vertical="center"/>
    </xf>
    <xf numFmtId="0" fontId="17" fillId="3" borderId="0" xfId="3" applyFont="1" applyFill="1"/>
    <xf numFmtId="167" fontId="17" fillId="3" borderId="6" xfId="3" applyNumberFormat="1" applyFont="1" applyFill="1" applyBorder="1"/>
    <xf numFmtId="168" fontId="17" fillId="3" borderId="6" xfId="3" applyNumberFormat="1" applyFont="1" applyFill="1" applyBorder="1"/>
    <xf numFmtId="164" fontId="17" fillId="3" borderId="0" xfId="3" applyNumberFormat="1" applyFont="1" applyFill="1"/>
    <xf numFmtId="0" fontId="18" fillId="3" borderId="0" xfId="3" applyFont="1" applyFill="1"/>
    <xf numFmtId="168" fontId="18" fillId="3" borderId="0" xfId="3" applyNumberFormat="1" applyFont="1" applyFill="1"/>
    <xf numFmtId="0" fontId="16" fillId="3" borderId="0" xfId="3" applyFont="1" applyFill="1"/>
    <xf numFmtId="164" fontId="18" fillId="3" borderId="0" xfId="3" applyNumberFormat="1" applyFont="1" applyFill="1"/>
    <xf numFmtId="164" fontId="14" fillId="2" borderId="0" xfId="0" applyNumberFormat="1" applyFont="1" applyFill="1"/>
    <xf numFmtId="164" fontId="15" fillId="2" borderId="0" xfId="0" applyNumberFormat="1" applyFont="1" applyFill="1"/>
    <xf numFmtId="0" fontId="19" fillId="2" borderId="0" xfId="4" applyFont="1" applyFill="1" applyAlignment="1">
      <alignment horizontal="left" vertical="center"/>
    </xf>
    <xf numFmtId="0" fontId="7" fillId="4" borderId="0" xfId="0" applyFont="1" applyFill="1"/>
    <xf numFmtId="0" fontId="7" fillId="4" borderId="0" xfId="0" applyFont="1" applyFill="1" applyAlignment="1">
      <alignment horizontal="right"/>
    </xf>
    <xf numFmtId="0" fontId="6" fillId="2" borderId="5" xfId="0" applyFont="1" applyFill="1" applyBorder="1"/>
    <xf numFmtId="0" fontId="20" fillId="2" borderId="5" xfId="0" applyFont="1" applyFill="1" applyBorder="1"/>
    <xf numFmtId="0" fontId="21" fillId="2" borderId="0" xfId="0" applyFont="1" applyFill="1"/>
    <xf numFmtId="0" fontId="20" fillId="2" borderId="2" xfId="0" applyFont="1" applyFill="1" applyBorder="1"/>
    <xf numFmtId="0" fontId="22" fillId="2" borderId="5" xfId="0" applyFont="1" applyFill="1" applyBorder="1"/>
    <xf numFmtId="0" fontId="22" fillId="2" borderId="2" xfId="0" applyFont="1" applyFill="1" applyBorder="1"/>
    <xf numFmtId="0" fontId="20" fillId="2" borderId="5" xfId="0" applyFont="1" applyFill="1" applyBorder="1" applyAlignment="1">
      <alignment horizontal="right"/>
    </xf>
    <xf numFmtId="0" fontId="23" fillId="0" borderId="5" xfId="3" applyFont="1" applyBorder="1" applyAlignment="1">
      <alignment horizontal="center" vertical="center" wrapText="1"/>
    </xf>
    <xf numFmtId="0" fontId="23" fillId="3" borderId="5" xfId="3" applyFont="1" applyFill="1" applyBorder="1"/>
    <xf numFmtId="0" fontId="24" fillId="3" borderId="0" xfId="3" applyFont="1" applyFill="1"/>
    <xf numFmtId="0" fontId="20" fillId="2" borderId="5" xfId="0" applyFont="1" applyFill="1" applyBorder="1" applyAlignment="1">
      <alignment horizontal="right" wrapText="1"/>
    </xf>
    <xf numFmtId="0" fontId="8" fillId="2" borderId="7" xfId="0" applyFont="1" applyFill="1" applyBorder="1"/>
    <xf numFmtId="165" fontId="22" fillId="2" borderId="7" xfId="2" applyNumberFormat="1" applyFont="1" applyFill="1" applyBorder="1"/>
    <xf numFmtId="0" fontId="20" fillId="2" borderId="2" xfId="0" applyFont="1" applyFill="1" applyBorder="1" applyAlignment="1">
      <alignment horizontal="right"/>
    </xf>
    <xf numFmtId="0" fontId="15" fillId="2" borderId="0" xfId="0" applyFont="1" applyFill="1"/>
    <xf numFmtId="0" fontId="25" fillId="2" borderId="0" xfId="0" applyFont="1" applyFill="1"/>
    <xf numFmtId="0" fontId="26" fillId="2" borderId="5" xfId="0" applyFont="1" applyFill="1" applyBorder="1"/>
    <xf numFmtId="0" fontId="27" fillId="2" borderId="5" xfId="0" applyFont="1" applyFill="1" applyBorder="1"/>
    <xf numFmtId="164" fontId="15" fillId="2" borderId="0" xfId="1" applyNumberFormat="1" applyFont="1" applyFill="1"/>
    <xf numFmtId="164" fontId="25" fillId="2" borderId="0" xfId="1" applyNumberFormat="1" applyFont="1" applyFill="1"/>
    <xf numFmtId="0" fontId="28" fillId="2" borderId="0" xfId="0" applyFont="1" applyFill="1"/>
    <xf numFmtId="0" fontId="29" fillId="2" borderId="5" xfId="0" applyFont="1" applyFill="1" applyBorder="1"/>
    <xf numFmtId="0" fontId="26" fillId="2" borderId="7" xfId="0" applyFont="1" applyFill="1" applyBorder="1"/>
    <xf numFmtId="164" fontId="29" fillId="2" borderId="7" xfId="0" applyNumberFormat="1" applyFont="1" applyFill="1" applyBorder="1"/>
    <xf numFmtId="9" fontId="15" fillId="2" borderId="0" xfId="0" applyNumberFormat="1" applyFont="1" applyFill="1"/>
    <xf numFmtId="0" fontId="27" fillId="2" borderId="0" xfId="0" applyFont="1" applyFill="1"/>
    <xf numFmtId="0" fontId="29" fillId="2" borderId="7" xfId="0" applyFont="1" applyFill="1" applyBorder="1"/>
    <xf numFmtId="0" fontId="26" fillId="2" borderId="2" xfId="0" applyFont="1" applyFill="1" applyBorder="1"/>
    <xf numFmtId="0" fontId="29" fillId="2" borderId="2" xfId="0" applyFont="1" applyFill="1" applyBorder="1"/>
    <xf numFmtId="164" fontId="15" fillId="2" borderId="0" xfId="1" applyNumberFormat="1" applyFont="1" applyFill="1" applyBorder="1"/>
    <xf numFmtId="0" fontId="26" fillId="2" borderId="3" xfId="0" applyFont="1" applyFill="1" applyBorder="1"/>
    <xf numFmtId="164" fontId="29" fillId="2" borderId="3" xfId="0" applyNumberFormat="1" applyFont="1" applyFill="1" applyBorder="1"/>
    <xf numFmtId="0" fontId="30" fillId="2" borderId="0" xfId="0" applyFont="1" applyFill="1"/>
    <xf numFmtId="164" fontId="31" fillId="5" borderId="0" xfId="1" applyNumberFormat="1" applyFont="1" applyFill="1" applyBorder="1"/>
    <xf numFmtId="0" fontId="32" fillId="2" borderId="5" xfId="0" applyFont="1" applyFill="1" applyBorder="1"/>
    <xf numFmtId="9" fontId="15" fillId="2" borderId="0" xfId="2" applyFont="1" applyFill="1"/>
    <xf numFmtId="9" fontId="15" fillId="2" borderId="0" xfId="0" applyNumberFormat="1" applyFont="1" applyFill="1" applyAlignment="1">
      <alignment horizontal="right"/>
    </xf>
    <xf numFmtId="9" fontId="15" fillId="2" borderId="0" xfId="2" applyFont="1" applyFill="1" applyBorder="1"/>
    <xf numFmtId="164" fontId="26" fillId="2" borderId="8" xfId="1" applyNumberFormat="1" applyFont="1" applyFill="1" applyBorder="1"/>
    <xf numFmtId="164" fontId="14" fillId="2" borderId="8" xfId="1" applyNumberFormat="1" applyFont="1" applyFill="1" applyBorder="1" applyAlignment="1">
      <alignment horizontal="right" vertical="top"/>
    </xf>
    <xf numFmtId="164" fontId="14" fillId="2" borderId="0" xfId="1" applyNumberFormat="1" applyFont="1" applyFill="1" applyBorder="1"/>
    <xf numFmtId="164" fontId="26" fillId="2" borderId="0" xfId="1" applyNumberFormat="1" applyFont="1" applyFill="1" applyBorder="1"/>
    <xf numFmtId="164" fontId="24" fillId="2" borderId="5" xfId="1" applyNumberFormat="1" applyFont="1" applyFill="1" applyBorder="1"/>
    <xf numFmtId="164" fontId="15" fillId="2" borderId="5" xfId="1" applyNumberFormat="1" applyFont="1" applyFill="1" applyBorder="1"/>
    <xf numFmtId="164" fontId="14" fillId="2" borderId="0" xfId="1" applyNumberFormat="1" applyFont="1" applyFill="1" applyBorder="1" applyAlignment="1">
      <alignment horizontal="right" vertical="top"/>
    </xf>
    <xf numFmtId="8" fontId="25" fillId="2" borderId="0" xfId="0" applyNumberFormat="1" applyFont="1" applyFill="1"/>
    <xf numFmtId="0" fontId="15" fillId="2" borderId="1" xfId="0" applyFont="1" applyFill="1" applyBorder="1"/>
    <xf numFmtId="164" fontId="15" fillId="2" borderId="1" xfId="1" applyNumberFormat="1" applyFont="1" applyFill="1" applyBorder="1"/>
    <xf numFmtId="0" fontId="14" fillId="2" borderId="4" xfId="0" applyFont="1" applyFill="1" applyBorder="1"/>
    <xf numFmtId="164" fontId="14" fillId="2" borderId="4" xfId="0" applyNumberFormat="1" applyFont="1" applyFill="1" applyBorder="1"/>
    <xf numFmtId="0" fontId="26" fillId="2" borderId="9" xfId="0" applyFont="1" applyFill="1" applyBorder="1"/>
    <xf numFmtId="164" fontId="29" fillId="2" borderId="9" xfId="0" applyNumberFormat="1" applyFont="1" applyFill="1" applyBorder="1"/>
    <xf numFmtId="0" fontId="26" fillId="2" borderId="5" xfId="0" applyFont="1" applyFill="1" applyBorder="1" applyAlignment="1">
      <alignment horizontal="right"/>
    </xf>
    <xf numFmtId="0" fontId="27" fillId="2" borderId="0" xfId="0" applyFont="1" applyFill="1" applyAlignment="1">
      <alignment horizontal="right"/>
    </xf>
    <xf numFmtId="164" fontId="29" fillId="2" borderId="5" xfId="0" applyNumberFormat="1" applyFont="1" applyFill="1" applyBorder="1"/>
    <xf numFmtId="164" fontId="27" fillId="2" borderId="0" xfId="0" applyNumberFormat="1" applyFont="1" applyFill="1"/>
    <xf numFmtId="165" fontId="15" fillId="2" borderId="0" xfId="2" applyNumberFormat="1" applyFont="1" applyFill="1"/>
    <xf numFmtId="9" fontId="3" fillId="2" borderId="5" xfId="2" applyFont="1" applyFill="1" applyBorder="1"/>
    <xf numFmtId="0" fontId="26" fillId="2" borderId="0" xfId="0" applyFont="1" applyFill="1"/>
    <xf numFmtId="6" fontId="3" fillId="2" borderId="0" xfId="0" applyNumberFormat="1" applyFont="1" applyFill="1"/>
    <xf numFmtId="166" fontId="7" fillId="4" borderId="0" xfId="2" applyNumberFormat="1" applyFont="1" applyFill="1" applyAlignment="1">
      <alignment horizontal="center"/>
    </xf>
  </cellXfs>
  <cellStyles count="5">
    <cellStyle name="Comma" xfId="1" builtinId="3"/>
    <cellStyle name="Normal" xfId="0" builtinId="0"/>
    <cellStyle name="Normal 10" xfId="3" xr:uid="{199B0B9D-9E90-47EE-9261-11EBE1CB397A}"/>
    <cellStyle name="Normal 2 2 2" xfId="4" xr:uid="{AFC4F1B7-C87F-4FE7-A0AD-1C24BF3D05B6}"/>
    <cellStyle name="Percent" xfId="2" builtinId="5"/>
  </cellStyles>
  <dxfs count="0"/>
  <tableStyles count="0" defaultTableStyle="TableStyleMedium2" defaultPivotStyle="PivotStyleLight16"/>
  <colors>
    <mruColors>
      <color rgb="FF0073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34292</xdr:colOff>
      <xdr:row>7</xdr:row>
      <xdr:rowOff>72392</xdr:rowOff>
    </xdr:from>
    <xdr:to>
      <xdr:col>9</xdr:col>
      <xdr:colOff>504825</xdr:colOff>
      <xdr:row>7</xdr:row>
      <xdr:rowOff>76200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3C4533DA-19D3-4C19-A4CA-FE448A8618BD}"/>
            </a:ext>
          </a:extLst>
        </xdr:cNvPr>
        <xdr:cNvCxnSpPr/>
      </xdr:nvCxnSpPr>
      <xdr:spPr>
        <a:xfrm flipH="1" flipV="1">
          <a:off x="7225667" y="1282067"/>
          <a:ext cx="472438" cy="38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34292</xdr:colOff>
      <xdr:row>8</xdr:row>
      <xdr:rowOff>91440</xdr:rowOff>
    </xdr:from>
    <xdr:to>
      <xdr:col>9</xdr:col>
      <xdr:colOff>504825</xdr:colOff>
      <xdr:row>8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D06A6D7-098F-4BBC-83B0-EDA4AEAE90E2}"/>
            </a:ext>
          </a:extLst>
        </xdr:cNvPr>
        <xdr:cNvCxnSpPr/>
      </xdr:nvCxnSpPr>
      <xdr:spPr>
        <a:xfrm flipH="1" flipV="1">
          <a:off x="7225667" y="1447800"/>
          <a:ext cx="47243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36195</xdr:colOff>
      <xdr:row>9</xdr:row>
      <xdr:rowOff>76200</xdr:rowOff>
    </xdr:from>
    <xdr:to>
      <xdr:col>9</xdr:col>
      <xdr:colOff>495300</xdr:colOff>
      <xdr:row>9</xdr:row>
      <xdr:rowOff>76201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3C6C5BC-A69C-4A6E-8410-CA67BC3A096B}"/>
            </a:ext>
          </a:extLst>
        </xdr:cNvPr>
        <xdr:cNvCxnSpPr/>
      </xdr:nvCxnSpPr>
      <xdr:spPr>
        <a:xfrm flipH="1">
          <a:off x="7227570" y="1571625"/>
          <a:ext cx="45910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47625</xdr:colOff>
      <xdr:row>15</xdr:row>
      <xdr:rowOff>85725</xdr:rowOff>
    </xdr:from>
    <xdr:to>
      <xdr:col>25</xdr:col>
      <xdr:colOff>506730</xdr:colOff>
      <xdr:row>15</xdr:row>
      <xdr:rowOff>85726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47B5948-A54F-488F-9A43-193E143D6C11}"/>
            </a:ext>
          </a:extLst>
        </xdr:cNvPr>
        <xdr:cNvCxnSpPr/>
      </xdr:nvCxnSpPr>
      <xdr:spPr>
        <a:xfrm flipH="1">
          <a:off x="7240905" y="2154555"/>
          <a:ext cx="46101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3B0"/>
  </sheetPr>
  <dimension ref="B17"/>
  <sheetViews>
    <sheetView topLeftCell="A24" workbookViewId="0">
      <selection activeCell="J40" sqref="J40"/>
    </sheetView>
  </sheetViews>
  <sheetFormatPr defaultColWidth="9.140625" defaultRowHeight="12" x14ac:dyDescent="0.2"/>
  <cols>
    <col min="1" max="1" width="2" style="27" customWidth="1"/>
    <col min="2" max="16384" width="9.140625" style="27"/>
  </cols>
  <sheetData>
    <row r="17" spans="2:2" ht="50.25" x14ac:dyDescent="0.7">
      <c r="B17" s="2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68"/>
  <sheetViews>
    <sheetView tabSelected="1" zoomScale="120" zoomScaleNormal="120" workbookViewId="0">
      <selection activeCell="A2" sqref="A2"/>
    </sheetView>
  </sheetViews>
  <sheetFormatPr defaultColWidth="9.140625" defaultRowHeight="12" x14ac:dyDescent="0.2"/>
  <cols>
    <col min="1" max="1" width="2" style="3" customWidth="1"/>
    <col min="2" max="2" width="36.7109375" style="3" customWidth="1"/>
    <col min="3" max="3" width="22.28515625" style="3" customWidth="1"/>
    <col min="4" max="4" width="10.85546875" style="3" customWidth="1"/>
    <col min="5" max="8" width="9.140625" style="3"/>
    <col min="9" max="9" width="9.42578125" style="3" customWidth="1"/>
    <col min="10" max="10" width="7.42578125" style="3" customWidth="1"/>
    <col min="11" max="14" width="9.140625" style="3"/>
    <col min="15" max="15" width="20.28515625" style="3" customWidth="1"/>
    <col min="16" max="16" width="12.7109375" style="3" customWidth="1"/>
    <col min="17" max="16384" width="9.140625" style="3"/>
  </cols>
  <sheetData>
    <row r="1" spans="2:18" s="2" customFormat="1" ht="15.75" x14ac:dyDescent="0.2">
      <c r="B1" s="63" t="s">
        <v>4</v>
      </c>
    </row>
    <row r="2" spans="2:18" s="2" customFormat="1" ht="14.25" x14ac:dyDescent="0.2"/>
    <row r="3" spans="2:18" s="2" customFormat="1" ht="14.25" x14ac:dyDescent="0.2">
      <c r="B3" s="3" t="s">
        <v>3</v>
      </c>
      <c r="C3" s="64">
        <v>2</v>
      </c>
      <c r="E3" s="3" t="s">
        <v>106</v>
      </c>
      <c r="F3" s="3" t="s">
        <v>109</v>
      </c>
      <c r="G3" s="3" t="s">
        <v>112</v>
      </c>
    </row>
    <row r="4" spans="2:18" s="2" customFormat="1" ht="14.25" x14ac:dyDescent="0.2">
      <c r="E4" s="3" t="s">
        <v>107</v>
      </c>
      <c r="F4" s="3" t="s">
        <v>109</v>
      </c>
      <c r="G4" s="3" t="s">
        <v>110</v>
      </c>
    </row>
    <row r="5" spans="2:18" s="2" customFormat="1" ht="16.899999999999999" customHeight="1" thickBot="1" x14ac:dyDescent="0.25">
      <c r="B5" s="67" t="s">
        <v>68</v>
      </c>
      <c r="C5" s="72" t="s">
        <v>70</v>
      </c>
      <c r="E5" s="3" t="s">
        <v>108</v>
      </c>
      <c r="F5" s="3" t="s">
        <v>109</v>
      </c>
      <c r="G5" s="3" t="s">
        <v>111</v>
      </c>
    </row>
    <row r="6" spans="2:18" s="2" customFormat="1" ht="14.25" x14ac:dyDescent="0.2"/>
    <row r="7" spans="2:18" s="2" customFormat="1" ht="15" thickBot="1" x14ac:dyDescent="0.25">
      <c r="B7" s="67" t="s">
        <v>69</v>
      </c>
      <c r="C7" s="66"/>
    </row>
    <row r="8" spans="2:18" s="2" customFormat="1" ht="14.25" x14ac:dyDescent="0.2">
      <c r="B8" s="3" t="s">
        <v>55</v>
      </c>
      <c r="C8" s="36">
        <v>1.4800000000000001E-2</v>
      </c>
    </row>
    <row r="9" spans="2:18" s="2" customFormat="1" ht="14.25" x14ac:dyDescent="0.2">
      <c r="B9" s="3" t="s">
        <v>78</v>
      </c>
      <c r="C9" s="65" t="s">
        <v>118</v>
      </c>
    </row>
    <row r="10" spans="2:18" s="2" customFormat="1" ht="14.25" x14ac:dyDescent="0.2">
      <c r="B10" s="3" t="s">
        <v>119</v>
      </c>
      <c r="C10" s="37">
        <v>0.98</v>
      </c>
    </row>
    <row r="11" spans="2:18" s="2" customFormat="1" ht="14.25" x14ac:dyDescent="0.2">
      <c r="B11" s="3" t="s">
        <v>46</v>
      </c>
      <c r="C11" s="37">
        <f>IF(C9="Direct Input",C10,IF(C9="Regression Estimate",'Beta (Regression)'!Y16,'Beta (Comparable Companies)'!I8))</f>
        <v>0.98</v>
      </c>
    </row>
    <row r="12" spans="2:18" s="2" customFormat="1" ht="14.25" x14ac:dyDescent="0.2">
      <c r="B12" s="3" t="s">
        <v>56</v>
      </c>
      <c r="C12" s="33">
        <v>4.7300000000000002E-2</v>
      </c>
      <c r="O12" s="3"/>
      <c r="P12" s="5"/>
      <c r="Q12" s="3"/>
      <c r="R12" s="3"/>
    </row>
    <row r="13" spans="2:18" s="2" customFormat="1" ht="14.45" customHeight="1" x14ac:dyDescent="0.2">
      <c r="O13" s="3"/>
      <c r="P13" s="5"/>
      <c r="Q13" s="3"/>
      <c r="R13" s="3"/>
    </row>
    <row r="14" spans="2:18" s="2" customFormat="1" ht="14.45" customHeight="1" thickBot="1" x14ac:dyDescent="0.25">
      <c r="B14" s="67" t="s">
        <v>16</v>
      </c>
      <c r="C14" s="66"/>
      <c r="O14" s="3"/>
      <c r="P14" s="5"/>
      <c r="Q14" s="3"/>
      <c r="R14" s="3"/>
    </row>
    <row r="15" spans="2:18" s="2" customFormat="1" ht="16.899999999999999" customHeight="1" x14ac:dyDescent="0.2">
      <c r="B15" s="3" t="s">
        <v>73</v>
      </c>
      <c r="C15" s="6">
        <v>40000000</v>
      </c>
      <c r="O15" s="3"/>
      <c r="P15" s="5"/>
      <c r="Q15" s="3"/>
      <c r="R15" s="3"/>
    </row>
    <row r="16" spans="2:18" x14ac:dyDescent="0.2">
      <c r="B16" s="3" t="s">
        <v>120</v>
      </c>
      <c r="C16" s="5">
        <v>0.03</v>
      </c>
    </row>
    <row r="17" spans="2:16" x14ac:dyDescent="0.2">
      <c r="P17" s="5"/>
    </row>
    <row r="18" spans="2:16" x14ac:dyDescent="0.2">
      <c r="P18" s="5"/>
    </row>
    <row r="19" spans="2:16" ht="12.75" thickBot="1" x14ac:dyDescent="0.25">
      <c r="B19" s="67" t="s">
        <v>115</v>
      </c>
      <c r="C19" s="70">
        <v>0</v>
      </c>
      <c r="D19" s="70">
        <v>1</v>
      </c>
      <c r="E19" s="70">
        <v>2</v>
      </c>
      <c r="F19" s="70">
        <v>3</v>
      </c>
      <c r="G19" s="70">
        <v>4</v>
      </c>
      <c r="H19" s="70">
        <v>5</v>
      </c>
      <c r="I19" s="70">
        <v>6</v>
      </c>
      <c r="J19" s="70">
        <v>7</v>
      </c>
      <c r="K19" s="70">
        <v>8</v>
      </c>
      <c r="L19" s="70">
        <v>9</v>
      </c>
      <c r="M19" s="70">
        <v>10</v>
      </c>
    </row>
    <row r="20" spans="2:16" x14ac:dyDescent="0.2">
      <c r="B20" s="9" t="s">
        <v>41</v>
      </c>
      <c r="C20" s="17">
        <v>0</v>
      </c>
      <c r="D20" s="17">
        <v>0.05</v>
      </c>
      <c r="E20" s="17">
        <v>0.05</v>
      </c>
      <c r="F20" s="17">
        <v>0.1</v>
      </c>
      <c r="G20" s="17">
        <v>0.1</v>
      </c>
      <c r="H20" s="17">
        <v>0.1</v>
      </c>
      <c r="I20" s="17">
        <v>0.1</v>
      </c>
      <c r="J20" s="17">
        <v>0.1</v>
      </c>
      <c r="K20" s="17">
        <v>0.1</v>
      </c>
      <c r="L20" s="17">
        <v>0.1</v>
      </c>
      <c r="M20" s="17">
        <v>0.1</v>
      </c>
    </row>
    <row r="24" spans="2:16" ht="12.75" thickBot="1" x14ac:dyDescent="0.25">
      <c r="B24" s="67" t="s">
        <v>114</v>
      </c>
      <c r="C24" s="66"/>
    </row>
    <row r="25" spans="2:16" x14ac:dyDescent="0.2">
      <c r="B25" s="3" t="s">
        <v>112</v>
      </c>
      <c r="C25" s="6">
        <v>60000000</v>
      </c>
    </row>
    <row r="26" spans="2:16" x14ac:dyDescent="0.2">
      <c r="B26" s="3" t="s">
        <v>110</v>
      </c>
      <c r="C26" s="6">
        <v>80000000</v>
      </c>
    </row>
    <row r="27" spans="2:16" x14ac:dyDescent="0.2">
      <c r="B27" s="3" t="s">
        <v>111</v>
      </c>
      <c r="C27" s="6">
        <v>100000000</v>
      </c>
    </row>
    <row r="28" spans="2:16" ht="14.25" x14ac:dyDescent="0.2">
      <c r="B28" s="2"/>
      <c r="C28" s="2"/>
    </row>
    <row r="30" spans="2:16" ht="12.75" thickBot="1" x14ac:dyDescent="0.25">
      <c r="B30" s="67" t="s">
        <v>113</v>
      </c>
      <c r="C30" s="70">
        <v>0</v>
      </c>
      <c r="D30" s="70">
        <v>1</v>
      </c>
      <c r="E30" s="70">
        <v>2</v>
      </c>
      <c r="F30" s="70">
        <v>3</v>
      </c>
      <c r="G30" s="70">
        <v>4</v>
      </c>
      <c r="H30" s="70">
        <v>5</v>
      </c>
      <c r="I30" s="70">
        <v>6</v>
      </c>
      <c r="J30" s="70">
        <v>7</v>
      </c>
      <c r="K30" s="70">
        <v>8</v>
      </c>
      <c r="L30" s="70">
        <v>9</v>
      </c>
      <c r="M30" s="70">
        <v>10</v>
      </c>
    </row>
    <row r="31" spans="2:16" x14ac:dyDescent="0.2">
      <c r="C31" s="17">
        <v>0.9</v>
      </c>
      <c r="D31" s="17">
        <v>0.1</v>
      </c>
      <c r="E31" s="17">
        <v>0.02</v>
      </c>
      <c r="F31" s="17">
        <v>0.02</v>
      </c>
      <c r="G31" s="17">
        <v>0.02</v>
      </c>
      <c r="H31" s="17">
        <v>0.02</v>
      </c>
      <c r="I31" s="17">
        <v>0.02</v>
      </c>
      <c r="J31" s="17">
        <v>0.02</v>
      </c>
      <c r="K31" s="17">
        <v>0.02</v>
      </c>
      <c r="L31" s="17">
        <v>0.02</v>
      </c>
      <c r="M31" s="17">
        <v>0.02</v>
      </c>
    </row>
    <row r="33" spans="2:13" x14ac:dyDescent="0.2">
      <c r="B33" s="3" t="s">
        <v>116</v>
      </c>
      <c r="C33" s="6">
        <v>10</v>
      </c>
    </row>
    <row r="34" spans="2:13" x14ac:dyDescent="0.2">
      <c r="B34" s="3" t="s">
        <v>54</v>
      </c>
      <c r="C34" s="35" t="s">
        <v>59</v>
      </c>
    </row>
    <row r="35" spans="2:13" x14ac:dyDescent="0.2">
      <c r="B35" s="3" t="s">
        <v>117</v>
      </c>
      <c r="C35" s="6">
        <v>30000000</v>
      </c>
    </row>
    <row r="37" spans="2:13" ht="12.75" thickBot="1" x14ac:dyDescent="0.25">
      <c r="B37" s="67" t="s">
        <v>71</v>
      </c>
      <c r="C37" s="66"/>
    </row>
    <row r="38" spans="2:13" x14ac:dyDescent="0.2">
      <c r="B38" s="3" t="s">
        <v>112</v>
      </c>
      <c r="C38" s="6">
        <v>88000000</v>
      </c>
    </row>
    <row r="39" spans="2:13" x14ac:dyDescent="0.2">
      <c r="B39" s="3" t="s">
        <v>110</v>
      </c>
      <c r="C39" s="6">
        <v>84000000</v>
      </c>
    </row>
    <row r="40" spans="2:13" x14ac:dyDescent="0.2">
      <c r="B40" s="3" t="s">
        <v>111</v>
      </c>
      <c r="C40" s="6">
        <v>78000000</v>
      </c>
    </row>
    <row r="43" spans="2:13" ht="12.75" thickBot="1" x14ac:dyDescent="0.25">
      <c r="B43" s="67" t="s">
        <v>74</v>
      </c>
      <c r="C43" s="70">
        <v>0</v>
      </c>
      <c r="D43" s="70">
        <v>1</v>
      </c>
      <c r="E43" s="70">
        <v>2</v>
      </c>
      <c r="F43" s="70">
        <v>3</v>
      </c>
      <c r="G43" s="70">
        <v>4</v>
      </c>
      <c r="H43" s="70">
        <v>5</v>
      </c>
      <c r="I43" s="70">
        <v>6</v>
      </c>
      <c r="J43" s="70">
        <v>7</v>
      </c>
      <c r="K43" s="70">
        <v>8</v>
      </c>
      <c r="L43" s="70">
        <v>9</v>
      </c>
      <c r="M43" s="70">
        <v>10</v>
      </c>
    </row>
    <row r="44" spans="2:13" x14ac:dyDescent="0.2">
      <c r="B44" s="3" t="s">
        <v>112</v>
      </c>
      <c r="C44" s="11" t="s">
        <v>58</v>
      </c>
      <c r="D44" s="11" t="s">
        <v>58</v>
      </c>
      <c r="E44" s="5">
        <v>0.12</v>
      </c>
      <c r="F44" s="5">
        <v>0.12</v>
      </c>
      <c r="G44" s="5">
        <v>0.12</v>
      </c>
      <c r="H44" s="5">
        <v>0.12</v>
      </c>
      <c r="I44" s="5">
        <v>0.03</v>
      </c>
      <c r="J44" s="5">
        <v>0.03</v>
      </c>
      <c r="K44" s="5">
        <v>0.03</v>
      </c>
      <c r="L44" s="5">
        <v>0.03</v>
      </c>
      <c r="M44" s="5">
        <v>0.03</v>
      </c>
    </row>
    <row r="45" spans="2:13" x14ac:dyDescent="0.2">
      <c r="B45" s="3" t="s">
        <v>110</v>
      </c>
      <c r="C45" s="11" t="s">
        <v>58</v>
      </c>
      <c r="D45" s="11" t="s">
        <v>58</v>
      </c>
      <c r="E45" s="5">
        <v>0.1</v>
      </c>
      <c r="F45" s="5">
        <v>0.1</v>
      </c>
      <c r="G45" s="5">
        <v>0.1</v>
      </c>
      <c r="H45" s="5">
        <v>0.1</v>
      </c>
      <c r="I45" s="5">
        <v>0.02</v>
      </c>
      <c r="J45" s="5">
        <v>0.02</v>
      </c>
      <c r="K45" s="5">
        <v>0.02</v>
      </c>
      <c r="L45" s="5">
        <v>0.02</v>
      </c>
      <c r="M45" s="5">
        <v>0.02</v>
      </c>
    </row>
    <row r="46" spans="2:13" x14ac:dyDescent="0.2">
      <c r="B46" s="3" t="s">
        <v>111</v>
      </c>
      <c r="C46" s="11" t="s">
        <v>58</v>
      </c>
      <c r="D46" s="11" t="s">
        <v>58</v>
      </c>
      <c r="E46" s="5">
        <v>0.04</v>
      </c>
      <c r="F46" s="5">
        <v>0.04</v>
      </c>
      <c r="G46" s="5">
        <v>0.04</v>
      </c>
      <c r="H46" s="5">
        <v>0.04</v>
      </c>
      <c r="I46" s="5">
        <v>0.01</v>
      </c>
      <c r="J46" s="5">
        <v>0.01</v>
      </c>
      <c r="K46" s="5">
        <v>0.01</v>
      </c>
      <c r="L46" s="5">
        <v>0.01</v>
      </c>
      <c r="M46" s="5">
        <v>0.01</v>
      </c>
    </row>
    <row r="49" spans="2:12" ht="12.75" thickBot="1" x14ac:dyDescent="0.25">
      <c r="B49" s="67" t="s">
        <v>75</v>
      </c>
      <c r="C49" s="67"/>
    </row>
    <row r="50" spans="2:12" x14ac:dyDescent="0.2">
      <c r="B50" s="3" t="s">
        <v>79</v>
      </c>
      <c r="C50" s="5">
        <v>0.75</v>
      </c>
    </row>
    <row r="51" spans="2:12" x14ac:dyDescent="0.2">
      <c r="B51" s="3" t="s">
        <v>80</v>
      </c>
      <c r="C51" s="5">
        <v>0.05</v>
      </c>
    </row>
    <row r="52" spans="2:12" x14ac:dyDescent="0.2">
      <c r="B52" s="3" t="s">
        <v>76</v>
      </c>
      <c r="C52" s="3" t="s">
        <v>77</v>
      </c>
    </row>
    <row r="53" spans="2:12" x14ac:dyDescent="0.2">
      <c r="B53" s="3" t="s">
        <v>83</v>
      </c>
      <c r="C53" s="33">
        <v>0.26500000000000001</v>
      </c>
    </row>
    <row r="55" spans="2:12" ht="12.75" thickBot="1" x14ac:dyDescent="0.25">
      <c r="B55" s="67" t="s">
        <v>61</v>
      </c>
      <c r="C55" s="70">
        <f ca="1">OFFSET(C55,Drivers!$C$3,0)</f>
        <v>12</v>
      </c>
      <c r="D55" s="70">
        <f ca="1">OFFSET(D55,Drivers!$C$3,0)</f>
        <v>12</v>
      </c>
      <c r="E55" s="70">
        <f ca="1">OFFSET(E55,Drivers!$C$3,0)</f>
        <v>12</v>
      </c>
      <c r="F55" s="70">
        <f ca="1">OFFSET(F55,Drivers!$C$3,0)</f>
        <v>10</v>
      </c>
      <c r="G55" s="70">
        <f ca="1">OFFSET(G55,Drivers!$C$3,0)</f>
        <v>10</v>
      </c>
      <c r="H55" s="70">
        <f ca="1">OFFSET(H55,Drivers!$C$3,0)</f>
        <v>10</v>
      </c>
      <c r="I55" s="70">
        <f ca="1">OFFSET(I55,Drivers!$C$3,0)</f>
        <v>9</v>
      </c>
      <c r="J55" s="70">
        <f ca="1">OFFSET(J55,Drivers!$C$3,0)</f>
        <v>9</v>
      </c>
      <c r="K55" s="70">
        <f ca="1">OFFSET(K55,Drivers!$C$3,0)</f>
        <v>9</v>
      </c>
      <c r="L55" s="70">
        <f ca="1">OFFSET(L55,Drivers!$C$3,0)</f>
        <v>9</v>
      </c>
    </row>
    <row r="56" spans="2:12" x14ac:dyDescent="0.2">
      <c r="B56" s="3" t="s">
        <v>112</v>
      </c>
      <c r="C56" s="80">
        <v>10</v>
      </c>
      <c r="D56" s="80">
        <v>10</v>
      </c>
      <c r="E56" s="80">
        <v>10</v>
      </c>
      <c r="F56" s="80">
        <v>9</v>
      </c>
      <c r="G56" s="80">
        <v>9</v>
      </c>
      <c r="H56" s="80">
        <v>9</v>
      </c>
      <c r="I56" s="80">
        <v>8</v>
      </c>
      <c r="J56" s="80">
        <v>8</v>
      </c>
      <c r="K56" s="80">
        <v>8</v>
      </c>
      <c r="L56" s="80">
        <v>8</v>
      </c>
    </row>
    <row r="57" spans="2:12" x14ac:dyDescent="0.2">
      <c r="B57" s="3" t="s">
        <v>110</v>
      </c>
      <c r="C57" s="80">
        <v>12</v>
      </c>
      <c r="D57" s="80">
        <v>12</v>
      </c>
      <c r="E57" s="80">
        <v>12</v>
      </c>
      <c r="F57" s="80">
        <v>10</v>
      </c>
      <c r="G57" s="80">
        <v>10</v>
      </c>
      <c r="H57" s="80">
        <v>10</v>
      </c>
      <c r="I57" s="80">
        <v>9</v>
      </c>
      <c r="J57" s="80">
        <v>9</v>
      </c>
      <c r="K57" s="80">
        <v>9</v>
      </c>
      <c r="L57" s="80">
        <v>9</v>
      </c>
    </row>
    <row r="58" spans="2:12" x14ac:dyDescent="0.2">
      <c r="B58" s="3" t="s">
        <v>111</v>
      </c>
      <c r="C58" s="80">
        <v>15</v>
      </c>
      <c r="D58" s="80">
        <v>15</v>
      </c>
      <c r="E58" s="80">
        <v>15</v>
      </c>
      <c r="F58" s="80">
        <v>14</v>
      </c>
      <c r="G58" s="80">
        <v>14</v>
      </c>
      <c r="H58" s="80">
        <v>14</v>
      </c>
      <c r="I58" s="80">
        <v>14</v>
      </c>
      <c r="J58" s="80">
        <v>13</v>
      </c>
      <c r="K58" s="80">
        <v>13</v>
      </c>
      <c r="L58" s="80">
        <v>13</v>
      </c>
    </row>
    <row r="59" spans="2:12" ht="15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2:12" ht="12.75" thickBot="1" x14ac:dyDescent="0.25">
      <c r="B60" s="67" t="s">
        <v>62</v>
      </c>
      <c r="C60" s="70">
        <f ca="1">OFFSET(C60,Drivers!$C$3,0)</f>
        <v>94</v>
      </c>
      <c r="D60" s="70">
        <f ca="1">OFFSET(D60,Drivers!$C$3,0)</f>
        <v>93</v>
      </c>
      <c r="E60" s="70">
        <f ca="1">OFFSET(E60,Drivers!$C$3,0)</f>
        <v>92</v>
      </c>
      <c r="F60" s="70">
        <f ca="1">OFFSET(F60,Drivers!$C$3,0)</f>
        <v>91</v>
      </c>
      <c r="G60" s="70">
        <f ca="1">OFFSET(G60,Drivers!$C$3,0)</f>
        <v>90</v>
      </c>
      <c r="H60" s="70">
        <f ca="1">OFFSET(H60,Drivers!$C$3,0)</f>
        <v>89</v>
      </c>
      <c r="I60" s="70">
        <f ca="1">OFFSET(I60,Drivers!$C$3,0)</f>
        <v>88</v>
      </c>
      <c r="J60" s="70">
        <f ca="1">OFFSET(J60,Drivers!$C$3,0)</f>
        <v>87</v>
      </c>
      <c r="K60" s="70">
        <f ca="1">OFFSET(K60,Drivers!$C$3,0)</f>
        <v>86</v>
      </c>
      <c r="L60" s="70">
        <f ca="1">OFFSET(L60,Drivers!$C$3,0)</f>
        <v>85</v>
      </c>
    </row>
    <row r="61" spans="2:12" x14ac:dyDescent="0.2">
      <c r="B61" s="3" t="s">
        <v>112</v>
      </c>
      <c r="C61" s="80">
        <v>84</v>
      </c>
      <c r="D61" s="80">
        <f>C61-1</f>
        <v>83</v>
      </c>
      <c r="E61" s="80">
        <f t="shared" ref="E61:L63" si="0">D61-1</f>
        <v>82</v>
      </c>
      <c r="F61" s="80">
        <f t="shared" si="0"/>
        <v>81</v>
      </c>
      <c r="G61" s="80">
        <f t="shared" si="0"/>
        <v>80</v>
      </c>
      <c r="H61" s="80">
        <f t="shared" si="0"/>
        <v>79</v>
      </c>
      <c r="I61" s="80">
        <f t="shared" si="0"/>
        <v>78</v>
      </c>
      <c r="J61" s="80">
        <f t="shared" si="0"/>
        <v>77</v>
      </c>
      <c r="K61" s="80">
        <f t="shared" si="0"/>
        <v>76</v>
      </c>
      <c r="L61" s="80">
        <f t="shared" si="0"/>
        <v>75</v>
      </c>
    </row>
    <row r="62" spans="2:12" x14ac:dyDescent="0.2">
      <c r="B62" s="3" t="s">
        <v>110</v>
      </c>
      <c r="C62" s="80">
        <v>94</v>
      </c>
      <c r="D62" s="80">
        <f>C62-1</f>
        <v>93</v>
      </c>
      <c r="E62" s="80">
        <f t="shared" si="0"/>
        <v>92</v>
      </c>
      <c r="F62" s="80">
        <f t="shared" si="0"/>
        <v>91</v>
      </c>
      <c r="G62" s="80">
        <f t="shared" si="0"/>
        <v>90</v>
      </c>
      <c r="H62" s="80">
        <f t="shared" si="0"/>
        <v>89</v>
      </c>
      <c r="I62" s="80">
        <f t="shared" si="0"/>
        <v>88</v>
      </c>
      <c r="J62" s="80">
        <f t="shared" si="0"/>
        <v>87</v>
      </c>
      <c r="K62" s="80">
        <f t="shared" si="0"/>
        <v>86</v>
      </c>
      <c r="L62" s="80">
        <f t="shared" si="0"/>
        <v>85</v>
      </c>
    </row>
    <row r="63" spans="2:12" x14ac:dyDescent="0.2">
      <c r="B63" s="3" t="s">
        <v>111</v>
      </c>
      <c r="C63" s="80">
        <v>100</v>
      </c>
      <c r="D63" s="80">
        <f>C63-1</f>
        <v>99</v>
      </c>
      <c r="E63" s="80">
        <f t="shared" si="0"/>
        <v>98</v>
      </c>
      <c r="F63" s="80">
        <f t="shared" si="0"/>
        <v>97</v>
      </c>
      <c r="G63" s="80">
        <f t="shared" si="0"/>
        <v>96</v>
      </c>
      <c r="H63" s="80">
        <f t="shared" si="0"/>
        <v>95</v>
      </c>
      <c r="I63" s="80">
        <f t="shared" si="0"/>
        <v>94</v>
      </c>
      <c r="J63" s="80">
        <f t="shared" si="0"/>
        <v>93</v>
      </c>
      <c r="K63" s="80">
        <f t="shared" si="0"/>
        <v>92</v>
      </c>
      <c r="L63" s="80">
        <f t="shared" si="0"/>
        <v>91</v>
      </c>
    </row>
    <row r="64" spans="2:12" ht="15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2:12" ht="12.75" thickBot="1" x14ac:dyDescent="0.25">
      <c r="B65" s="67" t="s">
        <v>63</v>
      </c>
      <c r="C65" s="70">
        <f ca="1">OFFSET(C65,Drivers!$C$3,0)</f>
        <v>43</v>
      </c>
      <c r="D65" s="70">
        <f ca="1">OFFSET(D65,Drivers!$C$3,0)</f>
        <v>44</v>
      </c>
      <c r="E65" s="70">
        <f ca="1">OFFSET(E65,Drivers!$C$3,0)</f>
        <v>45</v>
      </c>
      <c r="F65" s="70">
        <f ca="1">OFFSET(F65,Drivers!$C$3,0)</f>
        <v>45</v>
      </c>
      <c r="G65" s="70">
        <f ca="1">OFFSET(G65,Drivers!$C$3,0)</f>
        <v>45</v>
      </c>
      <c r="H65" s="70">
        <f ca="1">OFFSET(H65,Drivers!$C$3,0)</f>
        <v>46</v>
      </c>
      <c r="I65" s="70">
        <f ca="1">OFFSET(I65,Drivers!$C$3,0)</f>
        <v>46</v>
      </c>
      <c r="J65" s="70">
        <f ca="1">OFFSET(J65,Drivers!$C$3,0)</f>
        <v>47</v>
      </c>
      <c r="K65" s="70">
        <f ca="1">OFFSET(K65,Drivers!$C$3,0)</f>
        <v>48</v>
      </c>
      <c r="L65" s="70">
        <f ca="1">OFFSET(L65,Drivers!$C$3,0)</f>
        <v>48</v>
      </c>
    </row>
    <row r="66" spans="2:12" x14ac:dyDescent="0.2">
      <c r="B66" s="3" t="s">
        <v>112</v>
      </c>
      <c r="C66" s="80">
        <v>48</v>
      </c>
      <c r="D66" s="80">
        <f>C66+1</f>
        <v>49</v>
      </c>
      <c r="E66" s="80">
        <v>50</v>
      </c>
      <c r="F66" s="80">
        <v>50</v>
      </c>
      <c r="G66" s="80">
        <v>50</v>
      </c>
      <c r="H66" s="80">
        <f t="shared" ref="H66:L66" si="1">G66+1</f>
        <v>51</v>
      </c>
      <c r="I66" s="80">
        <f t="shared" si="1"/>
        <v>52</v>
      </c>
      <c r="J66" s="80">
        <v>52</v>
      </c>
      <c r="K66" s="80">
        <v>52</v>
      </c>
      <c r="L66" s="80">
        <f t="shared" si="1"/>
        <v>53</v>
      </c>
    </row>
    <row r="67" spans="2:12" x14ac:dyDescent="0.2">
      <c r="B67" s="3" t="s">
        <v>110</v>
      </c>
      <c r="C67" s="80">
        <v>43</v>
      </c>
      <c r="D67" s="80">
        <v>44</v>
      </c>
      <c r="E67" s="80">
        <v>45</v>
      </c>
      <c r="F67" s="80">
        <v>45</v>
      </c>
      <c r="G67" s="80">
        <v>45</v>
      </c>
      <c r="H67" s="80">
        <v>46</v>
      </c>
      <c r="I67" s="80">
        <v>46</v>
      </c>
      <c r="J67" s="80">
        <f t="shared" ref="J67:K67" si="2">I67+1</f>
        <v>47</v>
      </c>
      <c r="K67" s="80">
        <f t="shared" si="2"/>
        <v>48</v>
      </c>
      <c r="L67" s="80">
        <v>48</v>
      </c>
    </row>
    <row r="68" spans="2:12" x14ac:dyDescent="0.2">
      <c r="B68" s="3" t="s">
        <v>111</v>
      </c>
      <c r="C68" s="80">
        <v>48</v>
      </c>
      <c r="D68" s="80">
        <v>48</v>
      </c>
      <c r="E68" s="80">
        <v>48</v>
      </c>
      <c r="F68" s="80">
        <v>48</v>
      </c>
      <c r="G68" s="80">
        <v>48</v>
      </c>
      <c r="H68" s="80">
        <v>48</v>
      </c>
      <c r="I68" s="80">
        <v>48</v>
      </c>
      <c r="J68" s="80">
        <v>48</v>
      </c>
      <c r="K68" s="80">
        <v>48</v>
      </c>
      <c r="L68" s="80">
        <v>48</v>
      </c>
    </row>
  </sheetData>
  <dataValidations count="2">
    <dataValidation type="list" allowBlank="1" showInputMessage="1" showErrorMessage="1" sqref="C3" xr:uid="{00000000-0002-0000-0100-000000000000}">
      <formula1>"1,2,3"</formula1>
    </dataValidation>
    <dataValidation type="list" allowBlank="1" showInputMessage="1" showErrorMessage="1" sqref="C9" xr:uid="{AC172C2A-B070-4A78-B9D3-61A6E917CDFA}">
      <formula1>"Direct Input, Regression Estimate, Comparable Companies"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3B0"/>
  </sheetPr>
  <dimension ref="B17"/>
  <sheetViews>
    <sheetView workbookViewId="0"/>
  </sheetViews>
  <sheetFormatPr defaultColWidth="9.140625" defaultRowHeight="12" x14ac:dyDescent="0.2"/>
  <cols>
    <col min="1" max="1" width="2" style="3" customWidth="1"/>
    <col min="2" max="16384" width="9.140625" style="3"/>
  </cols>
  <sheetData>
    <row r="17" spans="2:2" ht="50.25" x14ac:dyDescent="0.7">
      <c r="B17" s="68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L18"/>
  <sheetViews>
    <sheetView zoomScale="140" zoomScaleNormal="140" workbookViewId="0">
      <selection activeCell="F35" sqref="F35"/>
    </sheetView>
  </sheetViews>
  <sheetFormatPr defaultColWidth="9.140625" defaultRowHeight="12" x14ac:dyDescent="0.2"/>
  <cols>
    <col min="1" max="1" width="2" style="3" customWidth="1"/>
    <col min="2" max="2" width="30.28515625" style="3" bestFit="1" customWidth="1"/>
    <col min="3" max="3" width="18.5703125" style="3" bestFit="1" customWidth="1"/>
    <col min="4" max="12" width="14.140625" style="3" bestFit="1" customWidth="1"/>
    <col min="13" max="16384" width="9.140625" style="3"/>
  </cols>
  <sheetData>
    <row r="1" spans="2:12" ht="15.75" x14ac:dyDescent="0.2">
      <c r="B1" s="63" t="s">
        <v>122</v>
      </c>
    </row>
    <row r="2" spans="2:12" ht="15.75" x14ac:dyDescent="0.25">
      <c r="B2" s="4"/>
    </row>
    <row r="3" spans="2:12" ht="12.75" thickBot="1" x14ac:dyDescent="0.25">
      <c r="B3" s="67" t="s">
        <v>71</v>
      </c>
      <c r="C3" s="66"/>
    </row>
    <row r="4" spans="2:12" x14ac:dyDescent="0.2">
      <c r="B4" s="3" t="s">
        <v>112</v>
      </c>
      <c r="C4" s="6">
        <f>Drivers!C38</f>
        <v>88000000</v>
      </c>
    </row>
    <row r="5" spans="2:12" x14ac:dyDescent="0.2">
      <c r="B5" s="3" t="s">
        <v>110</v>
      </c>
      <c r="C5" s="6">
        <f>Drivers!C39</f>
        <v>84000000</v>
      </c>
    </row>
    <row r="6" spans="2:12" x14ac:dyDescent="0.2">
      <c r="B6" s="3" t="s">
        <v>111</v>
      </c>
      <c r="C6" s="6">
        <f>Drivers!C40</f>
        <v>78000000</v>
      </c>
    </row>
    <row r="8" spans="2:12" ht="12.75" thickBot="1" x14ac:dyDescent="0.25">
      <c r="B8" s="67" t="s">
        <v>57</v>
      </c>
      <c r="C8" s="70">
        <v>1</v>
      </c>
      <c r="D8" s="70">
        <v>2</v>
      </c>
      <c r="E8" s="70">
        <v>3</v>
      </c>
      <c r="F8" s="70">
        <v>4</v>
      </c>
      <c r="G8" s="70">
        <v>5</v>
      </c>
      <c r="H8" s="70">
        <v>6</v>
      </c>
      <c r="I8" s="70">
        <v>7</v>
      </c>
      <c r="J8" s="70">
        <v>8</v>
      </c>
      <c r="K8" s="70">
        <v>9</v>
      </c>
      <c r="L8" s="70">
        <v>10</v>
      </c>
    </row>
    <row r="9" spans="2:12" x14ac:dyDescent="0.2">
      <c r="B9" s="3" t="s">
        <v>112</v>
      </c>
      <c r="C9" s="11" t="s">
        <v>58</v>
      </c>
      <c r="D9" s="5">
        <v>0.12</v>
      </c>
      <c r="E9" s="5">
        <v>0.12</v>
      </c>
      <c r="F9" s="5">
        <v>0.12</v>
      </c>
      <c r="G9" s="5">
        <v>0.12</v>
      </c>
      <c r="H9" s="5">
        <v>0.03</v>
      </c>
      <c r="I9" s="5">
        <v>0.03</v>
      </c>
      <c r="J9" s="5">
        <v>0.03</v>
      </c>
      <c r="K9" s="5">
        <v>0.03</v>
      </c>
      <c r="L9" s="5">
        <v>0.03</v>
      </c>
    </row>
    <row r="10" spans="2:12" x14ac:dyDescent="0.2">
      <c r="B10" s="3" t="s">
        <v>110</v>
      </c>
      <c r="C10" s="11" t="s">
        <v>58</v>
      </c>
      <c r="D10" s="5">
        <v>0.1</v>
      </c>
      <c r="E10" s="5">
        <v>0.1</v>
      </c>
      <c r="F10" s="5">
        <v>0.1</v>
      </c>
      <c r="G10" s="5">
        <v>0.1</v>
      </c>
      <c r="H10" s="5">
        <v>0.02</v>
      </c>
      <c r="I10" s="5">
        <v>0.02</v>
      </c>
      <c r="J10" s="5">
        <v>0.02</v>
      </c>
      <c r="K10" s="5">
        <v>0.02</v>
      </c>
      <c r="L10" s="5">
        <v>0.02</v>
      </c>
    </row>
    <row r="11" spans="2:12" x14ac:dyDescent="0.2">
      <c r="B11" s="3" t="s">
        <v>111</v>
      </c>
      <c r="C11" s="11" t="s">
        <v>58</v>
      </c>
      <c r="D11" s="5">
        <v>0.04</v>
      </c>
      <c r="E11" s="5">
        <v>0.04</v>
      </c>
      <c r="F11" s="5">
        <v>0.04</v>
      </c>
      <c r="G11" s="5">
        <v>0.04</v>
      </c>
      <c r="H11" s="5">
        <v>0.01</v>
      </c>
      <c r="I11" s="5">
        <v>0.01</v>
      </c>
      <c r="J11" s="5">
        <v>0.01</v>
      </c>
      <c r="K11" s="5">
        <v>0.01</v>
      </c>
      <c r="L11" s="5">
        <v>0.01</v>
      </c>
    </row>
    <row r="14" spans="2:12" ht="12.75" thickBot="1" x14ac:dyDescent="0.25">
      <c r="B14" s="67" t="s">
        <v>72</v>
      </c>
      <c r="C14" s="70">
        <v>1</v>
      </c>
      <c r="D14" s="70">
        <v>2</v>
      </c>
      <c r="E14" s="70">
        <v>3</v>
      </c>
      <c r="F14" s="70">
        <v>4</v>
      </c>
      <c r="G14" s="70">
        <v>5</v>
      </c>
      <c r="H14" s="70">
        <v>6</v>
      </c>
      <c r="I14" s="70">
        <v>7</v>
      </c>
      <c r="J14" s="70">
        <v>8</v>
      </c>
      <c r="K14" s="70">
        <v>9</v>
      </c>
      <c r="L14" s="70">
        <v>10</v>
      </c>
    </row>
    <row r="15" spans="2:12" x14ac:dyDescent="0.2">
      <c r="B15" s="3" t="s">
        <v>112</v>
      </c>
      <c r="C15" s="6">
        <f>C4</f>
        <v>88000000</v>
      </c>
      <c r="D15" s="6">
        <f t="shared" ref="D15:D17" si="0">C15*(1+D9)</f>
        <v>98560000.000000015</v>
      </c>
      <c r="E15" s="6">
        <f t="shared" ref="E15:E17" si="1">D15*(1+E9)</f>
        <v>110387200.00000003</v>
      </c>
      <c r="F15" s="6">
        <f t="shared" ref="F15:F17" si="2">E15*(1+F9)</f>
        <v>123633664.00000004</v>
      </c>
      <c r="G15" s="6">
        <f t="shared" ref="G15:G17" si="3">F15*(1+G9)</f>
        <v>138469703.68000007</v>
      </c>
      <c r="H15" s="6">
        <f t="shared" ref="H15:H17" si="4">G15*(1+H9)</f>
        <v>142623794.79040006</v>
      </c>
      <c r="I15" s="6">
        <f t="shared" ref="I15:I17" si="5">H15*(1+I9)</f>
        <v>146902508.63411206</v>
      </c>
      <c r="J15" s="6">
        <f t="shared" ref="J15:J17" si="6">I15*(1+J9)</f>
        <v>151309583.89313543</v>
      </c>
      <c r="K15" s="6">
        <f t="shared" ref="K15:K17" si="7">J15*(1+K9)</f>
        <v>155848871.40992948</v>
      </c>
      <c r="L15" s="6">
        <f t="shared" ref="L15:L17" si="8">K15*(1+L9)</f>
        <v>160524337.55222738</v>
      </c>
    </row>
    <row r="16" spans="2:12" x14ac:dyDescent="0.2">
      <c r="B16" s="3" t="s">
        <v>110</v>
      </c>
      <c r="C16" s="6">
        <f t="shared" ref="C16:C17" si="9">C5</f>
        <v>84000000</v>
      </c>
      <c r="D16" s="6">
        <f t="shared" si="0"/>
        <v>92400000.000000015</v>
      </c>
      <c r="E16" s="6">
        <f t="shared" si="1"/>
        <v>101640000.00000003</v>
      </c>
      <c r="F16" s="6">
        <f t="shared" si="2"/>
        <v>111804000.00000004</v>
      </c>
      <c r="G16" s="6">
        <f t="shared" si="3"/>
        <v>122984400.00000006</v>
      </c>
      <c r="H16" s="6">
        <f t="shared" si="4"/>
        <v>125444088.00000006</v>
      </c>
      <c r="I16" s="6">
        <f t="shared" si="5"/>
        <v>127952969.76000006</v>
      </c>
      <c r="J16" s="6">
        <f t="shared" si="6"/>
        <v>130512029.15520006</v>
      </c>
      <c r="K16" s="6">
        <f t="shared" si="7"/>
        <v>133122269.73830406</v>
      </c>
      <c r="L16" s="6">
        <f t="shared" si="8"/>
        <v>135784715.13307014</v>
      </c>
    </row>
    <row r="17" spans="2:12" x14ac:dyDescent="0.2">
      <c r="B17" s="3" t="s">
        <v>111</v>
      </c>
      <c r="C17" s="6">
        <f t="shared" si="9"/>
        <v>78000000</v>
      </c>
      <c r="D17" s="6">
        <f t="shared" si="0"/>
        <v>81120000</v>
      </c>
      <c r="E17" s="6">
        <f t="shared" si="1"/>
        <v>84364800</v>
      </c>
      <c r="F17" s="6">
        <f t="shared" si="2"/>
        <v>87739392</v>
      </c>
      <c r="G17" s="6">
        <f t="shared" si="3"/>
        <v>91248967.680000007</v>
      </c>
      <c r="H17" s="6">
        <f t="shared" si="4"/>
        <v>92161457.356800005</v>
      </c>
      <c r="I17" s="6">
        <f t="shared" si="5"/>
        <v>93083071.930368006</v>
      </c>
      <c r="J17" s="6">
        <f t="shared" si="6"/>
        <v>94013902.649671689</v>
      </c>
      <c r="K17" s="6">
        <f t="shared" si="7"/>
        <v>94954041.676168412</v>
      </c>
      <c r="L17" s="6">
        <f t="shared" si="8"/>
        <v>95903582.092930093</v>
      </c>
    </row>
    <row r="18" spans="2:12" x14ac:dyDescent="0.2">
      <c r="B18" s="7" t="s">
        <v>121</v>
      </c>
      <c r="C18" s="8">
        <f>CHOOSE(Drivers!$C$3,'Sales Forecast'!C15,'Sales Forecast'!C16,'Sales Forecast'!C17)</f>
        <v>84000000</v>
      </c>
      <c r="D18" s="8">
        <f>CHOOSE(Drivers!$C$3,'Sales Forecast'!D15,'Sales Forecast'!D16,'Sales Forecast'!D17)</f>
        <v>92400000.000000015</v>
      </c>
      <c r="E18" s="8">
        <f>CHOOSE(Drivers!$C$3,'Sales Forecast'!E15,'Sales Forecast'!E16,'Sales Forecast'!E17)</f>
        <v>101640000.00000003</v>
      </c>
      <c r="F18" s="8">
        <f>CHOOSE(Drivers!$C$3,'Sales Forecast'!F15,'Sales Forecast'!F16,'Sales Forecast'!F17)</f>
        <v>111804000.00000004</v>
      </c>
      <c r="G18" s="8">
        <f>CHOOSE(Drivers!$C$3,'Sales Forecast'!G15,'Sales Forecast'!G16,'Sales Forecast'!G17)</f>
        <v>122984400.00000006</v>
      </c>
      <c r="H18" s="8">
        <f>CHOOSE(Drivers!$C$3,'Sales Forecast'!H15,'Sales Forecast'!H16,'Sales Forecast'!H17)</f>
        <v>125444088.00000006</v>
      </c>
      <c r="I18" s="8">
        <f>CHOOSE(Drivers!$C$3,'Sales Forecast'!I15,'Sales Forecast'!I16,'Sales Forecast'!I17)</f>
        <v>127952969.76000006</v>
      </c>
      <c r="J18" s="8">
        <f>CHOOSE(Drivers!$C$3,'Sales Forecast'!J15,'Sales Forecast'!J16,'Sales Forecast'!J17)</f>
        <v>130512029.15520006</v>
      </c>
      <c r="K18" s="8">
        <f>CHOOSE(Drivers!$C$3,'Sales Forecast'!K15,'Sales Forecast'!K16,'Sales Forecast'!K17)</f>
        <v>133122269.73830406</v>
      </c>
      <c r="L18" s="8">
        <f>CHOOSE(Drivers!$C$3,'Sales Forecast'!L15,'Sales Forecast'!L16,'Sales Forecast'!L17)</f>
        <v>135784715.13307014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M38"/>
  <sheetViews>
    <sheetView zoomScale="120" zoomScaleNormal="120" workbookViewId="0">
      <selection activeCell="B3" sqref="B3:C3"/>
    </sheetView>
  </sheetViews>
  <sheetFormatPr defaultColWidth="9.140625" defaultRowHeight="14.25" x14ac:dyDescent="0.2"/>
  <cols>
    <col min="1" max="1" width="2" style="81" customWidth="1"/>
    <col min="2" max="2" width="30" style="81" bestFit="1" customWidth="1"/>
    <col min="3" max="12" width="13.5703125" style="81" bestFit="1" customWidth="1"/>
    <col min="13" max="13" width="13.5703125" style="81" customWidth="1"/>
    <col min="14" max="16384" width="9.140625" style="81"/>
  </cols>
  <sheetData>
    <row r="1" spans="2:13" ht="15.75" x14ac:dyDescent="0.2">
      <c r="B1" s="63" t="s">
        <v>7</v>
      </c>
    </row>
    <row r="3" spans="2:13" ht="15" thickBot="1" x14ac:dyDescent="0.25">
      <c r="B3" s="82" t="s">
        <v>1</v>
      </c>
      <c r="C3" s="83"/>
    </row>
    <row r="4" spans="2:13" x14ac:dyDescent="0.2">
      <c r="B4" s="3" t="s">
        <v>112</v>
      </c>
      <c r="C4" s="84">
        <f>Drivers!C25</f>
        <v>60000000</v>
      </c>
    </row>
    <row r="5" spans="2:13" x14ac:dyDescent="0.2">
      <c r="B5" s="3" t="s">
        <v>110</v>
      </c>
      <c r="C5" s="84">
        <f>Drivers!C26</f>
        <v>80000000</v>
      </c>
    </row>
    <row r="6" spans="2:13" x14ac:dyDescent="0.2">
      <c r="B6" s="3" t="s">
        <v>111</v>
      </c>
      <c r="C6" s="84">
        <f>Drivers!C27</f>
        <v>100000000</v>
      </c>
    </row>
    <row r="7" spans="2:13" x14ac:dyDescent="0.2">
      <c r="B7" s="80"/>
      <c r="C7" s="85"/>
    </row>
    <row r="8" spans="2:13" x14ac:dyDescent="0.2">
      <c r="B8" s="80" t="str">
        <f>Drivers!B33</f>
        <v>Lifetime of the Investment (years)</v>
      </c>
      <c r="C8" s="86">
        <f>Drivers!C33</f>
        <v>10</v>
      </c>
    </row>
    <row r="9" spans="2:13" x14ac:dyDescent="0.2">
      <c r="B9" s="80"/>
      <c r="C9" s="80"/>
    </row>
    <row r="10" spans="2:13" ht="15" thickBot="1" x14ac:dyDescent="0.25">
      <c r="B10" s="82" t="s">
        <v>0</v>
      </c>
      <c r="C10" s="87">
        <v>0</v>
      </c>
      <c r="D10" s="87">
        <v>1</v>
      </c>
      <c r="E10" s="87">
        <v>2</v>
      </c>
      <c r="F10" s="87">
        <v>3</v>
      </c>
      <c r="G10" s="87">
        <v>4</v>
      </c>
      <c r="H10" s="87">
        <v>5</v>
      </c>
      <c r="I10" s="87">
        <v>6</v>
      </c>
      <c r="J10" s="87">
        <v>7</v>
      </c>
      <c r="K10" s="87">
        <v>8</v>
      </c>
      <c r="L10" s="87">
        <v>9</v>
      </c>
      <c r="M10" s="87">
        <v>10</v>
      </c>
    </row>
    <row r="11" spans="2:13" x14ac:dyDescent="0.2">
      <c r="B11" s="80"/>
      <c r="C11" s="90">
        <v>0.9</v>
      </c>
      <c r="D11" s="90">
        <v>0.1</v>
      </c>
      <c r="E11" s="90">
        <v>0.02</v>
      </c>
      <c r="F11" s="90">
        <v>0.02</v>
      </c>
      <c r="G11" s="90">
        <v>0.02</v>
      </c>
      <c r="H11" s="90">
        <v>0.02</v>
      </c>
      <c r="I11" s="90">
        <v>0.02</v>
      </c>
      <c r="J11" s="90">
        <v>0.02</v>
      </c>
      <c r="K11" s="90">
        <v>0.02</v>
      </c>
      <c r="L11" s="90">
        <v>0.02</v>
      </c>
      <c r="M11" s="90">
        <v>0.02</v>
      </c>
    </row>
    <row r="13" spans="2:13" ht="15" thickBot="1" x14ac:dyDescent="0.25">
      <c r="B13" s="82" t="s">
        <v>6</v>
      </c>
      <c r="C13" s="87">
        <v>1</v>
      </c>
      <c r="D13" s="87">
        <v>2</v>
      </c>
      <c r="E13" s="87">
        <v>3</v>
      </c>
      <c r="F13" s="87">
        <v>4</v>
      </c>
      <c r="G13" s="87">
        <v>5</v>
      </c>
      <c r="H13" s="87">
        <v>6</v>
      </c>
      <c r="I13" s="87">
        <v>7</v>
      </c>
      <c r="J13" s="87">
        <v>8</v>
      </c>
      <c r="K13" s="87">
        <v>9</v>
      </c>
      <c r="L13" s="87">
        <v>10</v>
      </c>
    </row>
    <row r="14" spans="2:13" x14ac:dyDescent="0.2">
      <c r="B14" s="80" t="s">
        <v>8</v>
      </c>
      <c r="C14" s="84">
        <f>CHOOSE(Drivers!$C$3,'Fixed Asset Roll-Forward'!$C4,'Fixed Asset Roll-Forward'!$C5,'Fixed Asset Roll-Forward'!$C6)*'Fixed Asset Roll-Forward'!C11</f>
        <v>72000000</v>
      </c>
      <c r="D14" s="84">
        <f>C17</f>
        <v>72800000</v>
      </c>
      <c r="E14" s="84">
        <f t="shared" ref="E14:L14" si="0">D17</f>
        <v>66400000</v>
      </c>
      <c r="F14" s="84">
        <f t="shared" si="0"/>
        <v>59840000</v>
      </c>
      <c r="G14" s="84">
        <f t="shared" si="0"/>
        <v>53120000</v>
      </c>
      <c r="H14" s="84">
        <f t="shared" si="0"/>
        <v>46240000</v>
      </c>
      <c r="I14" s="84">
        <f t="shared" si="0"/>
        <v>39200000</v>
      </c>
      <c r="J14" s="84">
        <f t="shared" si="0"/>
        <v>32000000</v>
      </c>
      <c r="K14" s="84">
        <f t="shared" si="0"/>
        <v>24640000</v>
      </c>
      <c r="L14" s="84">
        <f t="shared" si="0"/>
        <v>17120000</v>
      </c>
    </row>
    <row r="15" spans="2:13" x14ac:dyDescent="0.2">
      <c r="B15" s="80" t="s">
        <v>5</v>
      </c>
      <c r="C15" s="84">
        <f>CHOOSE(Drivers!$C$3,'Fixed Asset Roll-Forward'!$C4,'Fixed Asset Roll-Forward'!$C5,'Fixed Asset Roll-Forward'!$C6)*'Fixed Asset Roll-Forward'!D11</f>
        <v>8000000</v>
      </c>
      <c r="D15" s="84">
        <f>CHOOSE(Drivers!$C$3,'Fixed Asset Roll-Forward'!$C4,'Fixed Asset Roll-Forward'!$C5,'Fixed Asset Roll-Forward'!$C6)*'Fixed Asset Roll-Forward'!E11</f>
        <v>1600000</v>
      </c>
      <c r="E15" s="84">
        <f>CHOOSE(Drivers!$C$3,'Fixed Asset Roll-Forward'!$C4,'Fixed Asset Roll-Forward'!$C5,'Fixed Asset Roll-Forward'!$C6)*'Fixed Asset Roll-Forward'!F11</f>
        <v>1600000</v>
      </c>
      <c r="F15" s="84">
        <f>CHOOSE(Drivers!$C$3,'Fixed Asset Roll-Forward'!$C4,'Fixed Asset Roll-Forward'!$C5,'Fixed Asset Roll-Forward'!$C6)*'Fixed Asset Roll-Forward'!G11</f>
        <v>1600000</v>
      </c>
      <c r="G15" s="84">
        <f>CHOOSE(Drivers!$C$3,'Fixed Asset Roll-Forward'!$C4,'Fixed Asset Roll-Forward'!$C5,'Fixed Asset Roll-Forward'!$C6)*'Fixed Asset Roll-Forward'!H11</f>
        <v>1600000</v>
      </c>
      <c r="H15" s="84">
        <f>CHOOSE(Drivers!$C$3,'Fixed Asset Roll-Forward'!$C4,'Fixed Asset Roll-Forward'!$C5,'Fixed Asset Roll-Forward'!$C6)*'Fixed Asset Roll-Forward'!I11</f>
        <v>1600000</v>
      </c>
      <c r="I15" s="84">
        <f>CHOOSE(Drivers!$C$3,'Fixed Asset Roll-Forward'!$C4,'Fixed Asset Roll-Forward'!$C5,'Fixed Asset Roll-Forward'!$C6)*'Fixed Asset Roll-Forward'!J11</f>
        <v>1600000</v>
      </c>
      <c r="J15" s="84">
        <f>CHOOSE(Drivers!$C$3,'Fixed Asset Roll-Forward'!$C4,'Fixed Asset Roll-Forward'!$C5,'Fixed Asset Roll-Forward'!$C6)*'Fixed Asset Roll-Forward'!K11</f>
        <v>1600000</v>
      </c>
      <c r="K15" s="84">
        <f>CHOOSE(Drivers!$C$3,'Fixed Asset Roll-Forward'!$C4,'Fixed Asset Roll-Forward'!$C5,'Fixed Asset Roll-Forward'!$C6)*'Fixed Asset Roll-Forward'!L11</f>
        <v>1600000</v>
      </c>
      <c r="L15" s="84">
        <f>CHOOSE(Drivers!$C$3,'Fixed Asset Roll-Forward'!$C4,'Fixed Asset Roll-Forward'!$C5,'Fixed Asset Roll-Forward'!$C6)*'Fixed Asset Roll-Forward'!M11</f>
        <v>1600000</v>
      </c>
    </row>
    <row r="16" spans="2:13" x14ac:dyDescent="0.2">
      <c r="B16" s="80" t="s">
        <v>2</v>
      </c>
      <c r="C16" s="62">
        <f>C30</f>
        <v>-7200000</v>
      </c>
      <c r="D16" s="62">
        <f t="shared" ref="D16:L16" si="1">D30</f>
        <v>-8000000</v>
      </c>
      <c r="E16" s="62">
        <f t="shared" si="1"/>
        <v>-8160000</v>
      </c>
      <c r="F16" s="62">
        <f t="shared" si="1"/>
        <v>-8320000</v>
      </c>
      <c r="G16" s="62">
        <f t="shared" si="1"/>
        <v>-8480000</v>
      </c>
      <c r="H16" s="62">
        <f t="shared" si="1"/>
        <v>-8640000</v>
      </c>
      <c r="I16" s="62">
        <f t="shared" si="1"/>
        <v>-8800000</v>
      </c>
      <c r="J16" s="62">
        <f t="shared" si="1"/>
        <v>-8960000</v>
      </c>
      <c r="K16" s="62">
        <f t="shared" si="1"/>
        <v>-9120000</v>
      </c>
      <c r="L16" s="62">
        <f t="shared" si="1"/>
        <v>-9280000</v>
      </c>
    </row>
    <row r="17" spans="2:12" ht="15" thickBot="1" x14ac:dyDescent="0.25">
      <c r="B17" s="88" t="s">
        <v>9</v>
      </c>
      <c r="C17" s="89">
        <f>SUM(C14:C16)</f>
        <v>72800000</v>
      </c>
      <c r="D17" s="89">
        <f t="shared" ref="D17:L17" si="2">SUM(D14:D16)</f>
        <v>66400000</v>
      </c>
      <c r="E17" s="89">
        <f t="shared" si="2"/>
        <v>59840000</v>
      </c>
      <c r="F17" s="89">
        <f t="shared" si="2"/>
        <v>53120000</v>
      </c>
      <c r="G17" s="89">
        <f t="shared" si="2"/>
        <v>46240000</v>
      </c>
      <c r="H17" s="89">
        <f t="shared" si="2"/>
        <v>39200000</v>
      </c>
      <c r="I17" s="89">
        <f t="shared" si="2"/>
        <v>32000000</v>
      </c>
      <c r="J17" s="89">
        <f t="shared" si="2"/>
        <v>24640000</v>
      </c>
      <c r="K17" s="89">
        <f t="shared" si="2"/>
        <v>17120000</v>
      </c>
      <c r="L17" s="89">
        <f t="shared" si="2"/>
        <v>9440000</v>
      </c>
    </row>
    <row r="19" spans="2:12" ht="15" thickBot="1" x14ac:dyDescent="0.25">
      <c r="B19" s="82" t="s">
        <v>10</v>
      </c>
      <c r="C19" s="87">
        <v>1</v>
      </c>
      <c r="D19" s="87">
        <v>2</v>
      </c>
      <c r="E19" s="87">
        <v>3</v>
      </c>
      <c r="F19" s="87">
        <v>4</v>
      </c>
      <c r="G19" s="87">
        <v>5</v>
      </c>
      <c r="H19" s="87">
        <v>6</v>
      </c>
      <c r="I19" s="87">
        <v>7</v>
      </c>
      <c r="J19" s="87">
        <v>8</v>
      </c>
      <c r="K19" s="87">
        <v>9</v>
      </c>
      <c r="L19" s="87">
        <v>10</v>
      </c>
    </row>
    <row r="20" spans="2:12" x14ac:dyDescent="0.2">
      <c r="B20" s="80" t="s">
        <v>11</v>
      </c>
      <c r="C20" s="62">
        <f>-$C$14/10</f>
        <v>-7200000</v>
      </c>
      <c r="D20" s="62">
        <f t="shared" ref="D20:L20" si="3">-$C$14/10</f>
        <v>-7200000</v>
      </c>
      <c r="E20" s="62">
        <f t="shared" si="3"/>
        <v>-7200000</v>
      </c>
      <c r="F20" s="62">
        <f t="shared" si="3"/>
        <v>-7200000</v>
      </c>
      <c r="G20" s="62">
        <f t="shared" si="3"/>
        <v>-7200000</v>
      </c>
      <c r="H20" s="62">
        <f t="shared" si="3"/>
        <v>-7200000</v>
      </c>
      <c r="I20" s="62">
        <f t="shared" si="3"/>
        <v>-7200000</v>
      </c>
      <c r="J20" s="62">
        <f t="shared" si="3"/>
        <v>-7200000</v>
      </c>
      <c r="K20" s="62">
        <f t="shared" si="3"/>
        <v>-7200000</v>
      </c>
      <c r="L20" s="62">
        <f t="shared" si="3"/>
        <v>-7200000</v>
      </c>
    </row>
    <row r="21" spans="2:12" x14ac:dyDescent="0.2">
      <c r="B21" s="80" t="s">
        <v>12</v>
      </c>
      <c r="C21" s="80"/>
      <c r="D21" s="62">
        <f>-$C$15/10</f>
        <v>-800000</v>
      </c>
      <c r="E21" s="62">
        <f t="shared" ref="E21:L21" si="4">-$C$15/10</f>
        <v>-800000</v>
      </c>
      <c r="F21" s="62">
        <f t="shared" si="4"/>
        <v>-800000</v>
      </c>
      <c r="G21" s="62">
        <f t="shared" si="4"/>
        <v>-800000</v>
      </c>
      <c r="H21" s="62">
        <f t="shared" si="4"/>
        <v>-800000</v>
      </c>
      <c r="I21" s="62">
        <f t="shared" si="4"/>
        <v>-800000</v>
      </c>
      <c r="J21" s="62">
        <f t="shared" si="4"/>
        <v>-800000</v>
      </c>
      <c r="K21" s="62">
        <f t="shared" si="4"/>
        <v>-800000</v>
      </c>
      <c r="L21" s="62">
        <f t="shared" si="4"/>
        <v>-800000</v>
      </c>
    </row>
    <row r="22" spans="2:12" x14ac:dyDescent="0.2">
      <c r="B22" s="80" t="s">
        <v>13</v>
      </c>
      <c r="C22" s="80"/>
      <c r="D22" s="80"/>
      <c r="E22" s="62">
        <f>-$D$15/10</f>
        <v>-160000</v>
      </c>
      <c r="F22" s="62">
        <f t="shared" ref="F22:L22" si="5">-$D$15/10</f>
        <v>-160000</v>
      </c>
      <c r="G22" s="62">
        <f t="shared" si="5"/>
        <v>-160000</v>
      </c>
      <c r="H22" s="62">
        <f t="shared" si="5"/>
        <v>-160000</v>
      </c>
      <c r="I22" s="62">
        <f t="shared" si="5"/>
        <v>-160000</v>
      </c>
      <c r="J22" s="62">
        <f t="shared" si="5"/>
        <v>-160000</v>
      </c>
      <c r="K22" s="62">
        <f t="shared" si="5"/>
        <v>-160000</v>
      </c>
      <c r="L22" s="62">
        <f t="shared" si="5"/>
        <v>-160000</v>
      </c>
    </row>
    <row r="23" spans="2:12" x14ac:dyDescent="0.2">
      <c r="B23" s="80" t="s">
        <v>26</v>
      </c>
      <c r="C23" s="80"/>
      <c r="D23" s="80"/>
      <c r="E23" s="62"/>
      <c r="F23" s="62">
        <f>-$E$15/10</f>
        <v>-160000</v>
      </c>
      <c r="G23" s="62">
        <f t="shared" ref="G23:L23" si="6">-$E$15/10</f>
        <v>-160000</v>
      </c>
      <c r="H23" s="62">
        <f t="shared" si="6"/>
        <v>-160000</v>
      </c>
      <c r="I23" s="62">
        <f t="shared" si="6"/>
        <v>-160000</v>
      </c>
      <c r="J23" s="62">
        <f t="shared" si="6"/>
        <v>-160000</v>
      </c>
      <c r="K23" s="62">
        <f t="shared" si="6"/>
        <v>-160000</v>
      </c>
      <c r="L23" s="62">
        <f t="shared" si="6"/>
        <v>-160000</v>
      </c>
    </row>
    <row r="24" spans="2:12" x14ac:dyDescent="0.2">
      <c r="B24" s="80" t="s">
        <v>27</v>
      </c>
      <c r="C24" s="80"/>
      <c r="D24" s="80"/>
      <c r="E24" s="62"/>
      <c r="F24" s="62"/>
      <c r="G24" s="62">
        <f>-$F$15/10</f>
        <v>-160000</v>
      </c>
      <c r="H24" s="62">
        <f t="shared" ref="H24:L24" si="7">-$F$15/10</f>
        <v>-160000</v>
      </c>
      <c r="I24" s="62">
        <f t="shared" si="7"/>
        <v>-160000</v>
      </c>
      <c r="J24" s="62">
        <f t="shared" si="7"/>
        <v>-160000</v>
      </c>
      <c r="K24" s="62">
        <f t="shared" si="7"/>
        <v>-160000</v>
      </c>
      <c r="L24" s="62">
        <f t="shared" si="7"/>
        <v>-160000</v>
      </c>
    </row>
    <row r="25" spans="2:12" x14ac:dyDescent="0.2">
      <c r="B25" s="80" t="s">
        <v>28</v>
      </c>
      <c r="C25" s="80"/>
      <c r="D25" s="80"/>
      <c r="E25" s="62"/>
      <c r="F25" s="62"/>
      <c r="G25" s="62"/>
      <c r="H25" s="62">
        <f>-$G$15/10</f>
        <v>-160000</v>
      </c>
      <c r="I25" s="62">
        <f t="shared" ref="I25:L25" si="8">-$G$15/10</f>
        <v>-160000</v>
      </c>
      <c r="J25" s="62">
        <f t="shared" si="8"/>
        <v>-160000</v>
      </c>
      <c r="K25" s="62">
        <f t="shared" si="8"/>
        <v>-160000</v>
      </c>
      <c r="L25" s="62">
        <f t="shared" si="8"/>
        <v>-160000</v>
      </c>
    </row>
    <row r="26" spans="2:12" x14ac:dyDescent="0.2">
      <c r="B26" s="80" t="s">
        <v>29</v>
      </c>
      <c r="C26" s="80"/>
      <c r="D26" s="80"/>
      <c r="E26" s="62"/>
      <c r="F26" s="62"/>
      <c r="G26" s="62"/>
      <c r="H26" s="62"/>
      <c r="I26" s="62">
        <f>-$H$15/10</f>
        <v>-160000</v>
      </c>
      <c r="J26" s="62">
        <f t="shared" ref="J26:L26" si="9">-$H$15/10</f>
        <v>-160000</v>
      </c>
      <c r="K26" s="62">
        <f t="shared" si="9"/>
        <v>-160000</v>
      </c>
      <c r="L26" s="62">
        <f t="shared" si="9"/>
        <v>-160000</v>
      </c>
    </row>
    <row r="27" spans="2:12" x14ac:dyDescent="0.2">
      <c r="B27" s="80" t="s">
        <v>30</v>
      </c>
      <c r="C27" s="80"/>
      <c r="D27" s="80"/>
      <c r="E27" s="62"/>
      <c r="F27" s="62"/>
      <c r="G27" s="62"/>
      <c r="H27" s="62"/>
      <c r="I27" s="62"/>
      <c r="J27" s="62">
        <f>-$I$15/10</f>
        <v>-160000</v>
      </c>
      <c r="K27" s="62">
        <f t="shared" ref="K27:L27" si="10">-$I$15/10</f>
        <v>-160000</v>
      </c>
      <c r="L27" s="62">
        <f t="shared" si="10"/>
        <v>-160000</v>
      </c>
    </row>
    <row r="28" spans="2:12" x14ac:dyDescent="0.2">
      <c r="B28" s="80" t="s">
        <v>31</v>
      </c>
      <c r="C28" s="80"/>
      <c r="D28" s="80"/>
      <c r="E28" s="62"/>
      <c r="F28" s="62"/>
      <c r="G28" s="62"/>
      <c r="H28" s="62"/>
      <c r="I28" s="62"/>
      <c r="J28" s="62"/>
      <c r="K28" s="62">
        <f>-$J$15/10</f>
        <v>-160000</v>
      </c>
      <c r="L28" s="62">
        <f>-$J$15/10</f>
        <v>-160000</v>
      </c>
    </row>
    <row r="29" spans="2:12" x14ac:dyDescent="0.2">
      <c r="B29" s="80" t="s">
        <v>32</v>
      </c>
      <c r="C29" s="80"/>
      <c r="D29" s="80"/>
      <c r="E29" s="62"/>
      <c r="F29" s="62"/>
      <c r="G29" s="62"/>
      <c r="H29" s="62"/>
      <c r="I29" s="62"/>
      <c r="J29" s="62"/>
      <c r="K29" s="62"/>
      <c r="L29" s="62">
        <f>-$K$15/10</f>
        <v>-160000</v>
      </c>
    </row>
    <row r="30" spans="2:12" ht="15" thickBot="1" x14ac:dyDescent="0.25">
      <c r="B30" s="88" t="s">
        <v>2</v>
      </c>
      <c r="C30" s="89">
        <f>SUM(C20:C29)</f>
        <v>-7200000</v>
      </c>
      <c r="D30" s="89">
        <f t="shared" ref="D30:L30" si="11">SUM(D20:D29)</f>
        <v>-8000000</v>
      </c>
      <c r="E30" s="89">
        <f t="shared" si="11"/>
        <v>-8160000</v>
      </c>
      <c r="F30" s="89">
        <f t="shared" si="11"/>
        <v>-8320000</v>
      </c>
      <c r="G30" s="89">
        <f t="shared" si="11"/>
        <v>-8480000</v>
      </c>
      <c r="H30" s="89">
        <f t="shared" si="11"/>
        <v>-8640000</v>
      </c>
      <c r="I30" s="89">
        <f t="shared" si="11"/>
        <v>-8800000</v>
      </c>
      <c r="J30" s="89">
        <f t="shared" si="11"/>
        <v>-8960000</v>
      </c>
      <c r="K30" s="89">
        <f t="shared" si="11"/>
        <v>-9120000</v>
      </c>
      <c r="L30" s="89">
        <f t="shared" si="11"/>
        <v>-9280000</v>
      </c>
    </row>
    <row r="38" spans="6:6" x14ac:dyDescent="0.2">
      <c r="F38" s="81" t="s">
        <v>14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L25"/>
  <sheetViews>
    <sheetView zoomScale="140" zoomScaleNormal="140" workbookViewId="0"/>
  </sheetViews>
  <sheetFormatPr defaultColWidth="9.140625" defaultRowHeight="14.25" x14ac:dyDescent="0.2"/>
  <cols>
    <col min="1" max="1" width="2" style="81" customWidth="1"/>
    <col min="2" max="2" width="28.5703125" style="81" customWidth="1"/>
    <col min="3" max="11" width="13.5703125" style="81" bestFit="1" customWidth="1"/>
    <col min="12" max="12" width="12.28515625" style="81" customWidth="1"/>
    <col min="13" max="16384" width="9.140625" style="81"/>
  </cols>
  <sheetData>
    <row r="1" spans="2:12" ht="15.75" x14ac:dyDescent="0.2">
      <c r="B1" s="63" t="s">
        <v>123</v>
      </c>
    </row>
    <row r="3" spans="2:12" x14ac:dyDescent="0.2">
      <c r="B3" s="91"/>
    </row>
    <row r="4" spans="2:12" ht="15" thickBot="1" x14ac:dyDescent="0.25">
      <c r="B4" s="88" t="s">
        <v>61</v>
      </c>
      <c r="C4" s="92">
        <f ca="1">OFFSET(C4,Drivers!$C$3,0)</f>
        <v>12</v>
      </c>
      <c r="D4" s="92">
        <f ca="1">OFFSET(D4,Drivers!$C$3,0)</f>
        <v>12</v>
      </c>
      <c r="E4" s="92">
        <f ca="1">OFFSET(E4,Drivers!$C$3,0)</f>
        <v>12</v>
      </c>
      <c r="F4" s="92">
        <f ca="1">OFFSET(F4,Drivers!$C$3,0)</f>
        <v>10</v>
      </c>
      <c r="G4" s="92">
        <f ca="1">OFFSET(G4,Drivers!$C$3,0)</f>
        <v>10</v>
      </c>
      <c r="H4" s="92">
        <f ca="1">OFFSET(H4,Drivers!$C$3,0)</f>
        <v>10</v>
      </c>
      <c r="I4" s="92">
        <f ca="1">OFFSET(I4,Drivers!$C$3,0)</f>
        <v>9</v>
      </c>
      <c r="J4" s="92">
        <f ca="1">OFFSET(J4,Drivers!$C$3,0)</f>
        <v>9</v>
      </c>
      <c r="K4" s="92">
        <f ca="1">OFFSET(K4,Drivers!$C$3,0)</f>
        <v>9</v>
      </c>
      <c r="L4" s="92">
        <f ca="1">OFFSET(L4,Drivers!$C$3,0)</f>
        <v>9</v>
      </c>
    </row>
    <row r="5" spans="2:12" x14ac:dyDescent="0.2">
      <c r="B5" s="80" t="s">
        <v>112</v>
      </c>
      <c r="C5" s="80">
        <v>10</v>
      </c>
      <c r="D5" s="80">
        <v>10</v>
      </c>
      <c r="E5" s="80">
        <v>10</v>
      </c>
      <c r="F5" s="80">
        <v>9</v>
      </c>
      <c r="G5" s="80">
        <v>9</v>
      </c>
      <c r="H5" s="80">
        <v>9</v>
      </c>
      <c r="I5" s="80">
        <v>8</v>
      </c>
      <c r="J5" s="80">
        <v>8</v>
      </c>
      <c r="K5" s="80">
        <v>8</v>
      </c>
      <c r="L5" s="80">
        <v>8</v>
      </c>
    </row>
    <row r="6" spans="2:12" x14ac:dyDescent="0.2">
      <c r="B6" s="80" t="s">
        <v>110</v>
      </c>
      <c r="C6" s="80">
        <v>12</v>
      </c>
      <c r="D6" s="80">
        <v>12</v>
      </c>
      <c r="E6" s="80">
        <v>12</v>
      </c>
      <c r="F6" s="80">
        <v>10</v>
      </c>
      <c r="G6" s="80">
        <v>10</v>
      </c>
      <c r="H6" s="80">
        <v>10</v>
      </c>
      <c r="I6" s="80">
        <v>9</v>
      </c>
      <c r="J6" s="80">
        <v>9</v>
      </c>
      <c r="K6" s="80">
        <v>9</v>
      </c>
      <c r="L6" s="80">
        <v>9</v>
      </c>
    </row>
    <row r="7" spans="2:12" x14ac:dyDescent="0.2">
      <c r="B7" s="80" t="s">
        <v>111</v>
      </c>
      <c r="C7" s="80">
        <v>15</v>
      </c>
      <c r="D7" s="80">
        <v>15</v>
      </c>
      <c r="E7" s="80">
        <v>15</v>
      </c>
      <c r="F7" s="80">
        <v>14</v>
      </c>
      <c r="G7" s="80">
        <v>14</v>
      </c>
      <c r="H7" s="80">
        <v>14</v>
      </c>
      <c r="I7" s="80">
        <v>14</v>
      </c>
      <c r="J7" s="80">
        <v>13</v>
      </c>
      <c r="K7" s="80">
        <v>13</v>
      </c>
      <c r="L7" s="80">
        <v>13</v>
      </c>
    </row>
    <row r="8" spans="2:12" x14ac:dyDescent="0.2">
      <c r="C8" s="80"/>
      <c r="D8" s="80"/>
      <c r="E8" s="80"/>
      <c r="F8" s="80"/>
      <c r="G8" s="80"/>
      <c r="H8" s="80"/>
      <c r="I8" s="80"/>
      <c r="J8" s="80"/>
      <c r="K8" s="80"/>
      <c r="L8" s="80"/>
    </row>
    <row r="9" spans="2:12" ht="15" thickBot="1" x14ac:dyDescent="0.25">
      <c r="B9" s="88" t="s">
        <v>62</v>
      </c>
      <c r="C9" s="92">
        <f ca="1">OFFSET(C9,Drivers!$C$3,0)</f>
        <v>94</v>
      </c>
      <c r="D9" s="92">
        <f ca="1">OFFSET(D9,Drivers!$C$3,0)</f>
        <v>93</v>
      </c>
      <c r="E9" s="92">
        <f ca="1">OFFSET(E9,Drivers!$C$3,0)</f>
        <v>92</v>
      </c>
      <c r="F9" s="92">
        <f ca="1">OFFSET(F9,Drivers!$C$3,0)</f>
        <v>91</v>
      </c>
      <c r="G9" s="92">
        <f ca="1">OFFSET(G9,Drivers!$C$3,0)</f>
        <v>90</v>
      </c>
      <c r="H9" s="92">
        <f ca="1">OFFSET(H9,Drivers!$C$3,0)</f>
        <v>89</v>
      </c>
      <c r="I9" s="92">
        <f ca="1">OFFSET(I9,Drivers!$C$3,0)</f>
        <v>88</v>
      </c>
      <c r="J9" s="92">
        <f ca="1">OFFSET(J9,Drivers!$C$3,0)</f>
        <v>87</v>
      </c>
      <c r="K9" s="92">
        <f ca="1">OFFSET(K9,Drivers!$C$3,0)</f>
        <v>86</v>
      </c>
      <c r="L9" s="92">
        <f ca="1">OFFSET(L9,Drivers!$C$3,0)</f>
        <v>85</v>
      </c>
    </row>
    <row r="10" spans="2:12" x14ac:dyDescent="0.2">
      <c r="B10" s="80" t="s">
        <v>112</v>
      </c>
      <c r="C10" s="80">
        <v>84</v>
      </c>
      <c r="D10" s="80">
        <f>C10-1</f>
        <v>83</v>
      </c>
      <c r="E10" s="80">
        <f t="shared" ref="E10:L10" si="0">D10-1</f>
        <v>82</v>
      </c>
      <c r="F10" s="80">
        <f t="shared" si="0"/>
        <v>81</v>
      </c>
      <c r="G10" s="80">
        <f t="shared" si="0"/>
        <v>80</v>
      </c>
      <c r="H10" s="80">
        <f t="shared" si="0"/>
        <v>79</v>
      </c>
      <c r="I10" s="80">
        <f t="shared" si="0"/>
        <v>78</v>
      </c>
      <c r="J10" s="80">
        <f t="shared" si="0"/>
        <v>77</v>
      </c>
      <c r="K10" s="80">
        <f t="shared" si="0"/>
        <v>76</v>
      </c>
      <c r="L10" s="80">
        <f t="shared" si="0"/>
        <v>75</v>
      </c>
    </row>
    <row r="11" spans="2:12" x14ac:dyDescent="0.2">
      <c r="B11" s="80" t="s">
        <v>110</v>
      </c>
      <c r="C11" s="80">
        <v>94</v>
      </c>
      <c r="D11" s="80">
        <f>C11-1</f>
        <v>93</v>
      </c>
      <c r="E11" s="80">
        <f t="shared" ref="E11:L11" si="1">D11-1</f>
        <v>92</v>
      </c>
      <c r="F11" s="80">
        <f t="shared" si="1"/>
        <v>91</v>
      </c>
      <c r="G11" s="80">
        <f t="shared" si="1"/>
        <v>90</v>
      </c>
      <c r="H11" s="80">
        <f t="shared" si="1"/>
        <v>89</v>
      </c>
      <c r="I11" s="80">
        <f t="shared" si="1"/>
        <v>88</v>
      </c>
      <c r="J11" s="80">
        <f t="shared" si="1"/>
        <v>87</v>
      </c>
      <c r="K11" s="80">
        <f t="shared" si="1"/>
        <v>86</v>
      </c>
      <c r="L11" s="80">
        <f t="shared" si="1"/>
        <v>85</v>
      </c>
    </row>
    <row r="12" spans="2:12" x14ac:dyDescent="0.2">
      <c r="B12" s="80" t="s">
        <v>111</v>
      </c>
      <c r="C12" s="80">
        <v>100</v>
      </c>
      <c r="D12" s="80">
        <f>C12-1</f>
        <v>99</v>
      </c>
      <c r="E12" s="80">
        <f t="shared" ref="E12:L12" si="2">D12-1</f>
        <v>98</v>
      </c>
      <c r="F12" s="80">
        <f t="shared" si="2"/>
        <v>97</v>
      </c>
      <c r="G12" s="80">
        <f t="shared" si="2"/>
        <v>96</v>
      </c>
      <c r="H12" s="80">
        <f t="shared" si="2"/>
        <v>95</v>
      </c>
      <c r="I12" s="80">
        <f t="shared" si="2"/>
        <v>94</v>
      </c>
      <c r="J12" s="80">
        <f t="shared" si="2"/>
        <v>93</v>
      </c>
      <c r="K12" s="80">
        <f t="shared" si="2"/>
        <v>92</v>
      </c>
      <c r="L12" s="80">
        <f t="shared" si="2"/>
        <v>91</v>
      </c>
    </row>
    <row r="13" spans="2:12" x14ac:dyDescent="0.2">
      <c r="C13" s="80"/>
      <c r="D13" s="80"/>
      <c r="E13" s="80"/>
      <c r="F13" s="80"/>
      <c r="G13" s="80"/>
      <c r="H13" s="80"/>
      <c r="I13" s="80"/>
      <c r="J13" s="80"/>
      <c r="K13" s="80"/>
      <c r="L13" s="80"/>
    </row>
    <row r="14" spans="2:12" ht="15" thickBot="1" x14ac:dyDescent="0.25">
      <c r="B14" s="88" t="s">
        <v>63</v>
      </c>
      <c r="C14" s="92">
        <f ca="1">OFFSET(C14,Drivers!$C$3,0)</f>
        <v>43</v>
      </c>
      <c r="D14" s="92">
        <f ca="1">OFFSET(D14,Drivers!$C$3,0)</f>
        <v>44</v>
      </c>
      <c r="E14" s="92">
        <f ca="1">OFFSET(E14,Drivers!$C$3,0)</f>
        <v>45</v>
      </c>
      <c r="F14" s="92">
        <f ca="1">OFFSET(F14,Drivers!$C$3,0)</f>
        <v>45</v>
      </c>
      <c r="G14" s="92">
        <f ca="1">OFFSET(G14,Drivers!$C$3,0)</f>
        <v>45</v>
      </c>
      <c r="H14" s="92">
        <f ca="1">OFFSET(H14,Drivers!$C$3,0)</f>
        <v>46</v>
      </c>
      <c r="I14" s="92">
        <f ca="1">OFFSET(I14,Drivers!$C$3,0)</f>
        <v>46</v>
      </c>
      <c r="J14" s="92">
        <f ca="1">OFFSET(J14,Drivers!$C$3,0)</f>
        <v>47</v>
      </c>
      <c r="K14" s="92">
        <f ca="1">OFFSET(K14,Drivers!$C$3,0)</f>
        <v>48</v>
      </c>
      <c r="L14" s="92">
        <f ca="1">OFFSET(L14,Drivers!$C$3,0)</f>
        <v>48</v>
      </c>
    </row>
    <row r="15" spans="2:12" x14ac:dyDescent="0.2">
      <c r="B15" s="80" t="s">
        <v>112</v>
      </c>
      <c r="C15" s="80">
        <v>48</v>
      </c>
      <c r="D15" s="80">
        <f>C15+1</f>
        <v>49</v>
      </c>
      <c r="E15" s="80">
        <v>50</v>
      </c>
      <c r="F15" s="80">
        <v>50</v>
      </c>
      <c r="G15" s="80">
        <v>50</v>
      </c>
      <c r="H15" s="80">
        <f t="shared" ref="H15:L15" si="3">G15+1</f>
        <v>51</v>
      </c>
      <c r="I15" s="80">
        <f t="shared" si="3"/>
        <v>52</v>
      </c>
      <c r="J15" s="80">
        <v>52</v>
      </c>
      <c r="K15" s="80">
        <v>52</v>
      </c>
      <c r="L15" s="80">
        <f t="shared" si="3"/>
        <v>53</v>
      </c>
    </row>
    <row r="16" spans="2:12" x14ac:dyDescent="0.2">
      <c r="B16" s="80" t="s">
        <v>110</v>
      </c>
      <c r="C16" s="80">
        <v>43</v>
      </c>
      <c r="D16" s="80">
        <v>44</v>
      </c>
      <c r="E16" s="80">
        <v>45</v>
      </c>
      <c r="F16" s="80">
        <v>45</v>
      </c>
      <c r="G16" s="80">
        <v>45</v>
      </c>
      <c r="H16" s="80">
        <v>46</v>
      </c>
      <c r="I16" s="80">
        <v>46</v>
      </c>
      <c r="J16" s="80">
        <f t="shared" ref="J16:K16" si="4">I16+1</f>
        <v>47</v>
      </c>
      <c r="K16" s="80">
        <f t="shared" si="4"/>
        <v>48</v>
      </c>
      <c r="L16" s="80">
        <v>48</v>
      </c>
    </row>
    <row r="17" spans="2:12" x14ac:dyDescent="0.2">
      <c r="B17" s="80" t="s">
        <v>111</v>
      </c>
      <c r="C17" s="80">
        <v>48</v>
      </c>
      <c r="D17" s="80">
        <v>48</v>
      </c>
      <c r="E17" s="80">
        <v>48</v>
      </c>
      <c r="F17" s="80">
        <v>48</v>
      </c>
      <c r="G17" s="80">
        <v>48</v>
      </c>
      <c r="H17" s="80">
        <v>48</v>
      </c>
      <c r="I17" s="80">
        <v>48</v>
      </c>
      <c r="J17" s="80">
        <v>48</v>
      </c>
      <c r="K17" s="80">
        <v>48</v>
      </c>
      <c r="L17" s="80">
        <v>48</v>
      </c>
    </row>
    <row r="21" spans="2:12" ht="15" thickBot="1" x14ac:dyDescent="0.25">
      <c r="B21" s="93" t="s">
        <v>6</v>
      </c>
      <c r="C21" s="94">
        <v>1</v>
      </c>
      <c r="D21" s="94">
        <v>2</v>
      </c>
      <c r="E21" s="94">
        <v>3</v>
      </c>
      <c r="F21" s="94">
        <v>4</v>
      </c>
      <c r="G21" s="94">
        <v>5</v>
      </c>
      <c r="H21" s="94">
        <v>6</v>
      </c>
      <c r="I21" s="94">
        <v>7</v>
      </c>
      <c r="J21" s="94">
        <v>8</v>
      </c>
      <c r="K21" s="94">
        <v>9</v>
      </c>
      <c r="L21" s="94">
        <v>10</v>
      </c>
    </row>
    <row r="22" spans="2:12" x14ac:dyDescent="0.2">
      <c r="B22" s="80" t="s">
        <v>60</v>
      </c>
      <c r="C22" s="95">
        <f>'Sales Forecast'!C18</f>
        <v>84000000</v>
      </c>
      <c r="D22" s="95">
        <f>'Sales Forecast'!D18</f>
        <v>92400000.000000015</v>
      </c>
      <c r="E22" s="95">
        <f>'Sales Forecast'!E18</f>
        <v>101640000.00000003</v>
      </c>
      <c r="F22" s="95">
        <f>'Sales Forecast'!F18</f>
        <v>111804000.00000004</v>
      </c>
      <c r="G22" s="95">
        <f>'Sales Forecast'!G18</f>
        <v>122984400.00000006</v>
      </c>
      <c r="H22" s="95">
        <f>'Sales Forecast'!H18</f>
        <v>125444088.00000006</v>
      </c>
      <c r="I22" s="95">
        <f>'Sales Forecast'!I18</f>
        <v>127952969.76000006</v>
      </c>
      <c r="J22" s="95">
        <f>'Sales Forecast'!J18</f>
        <v>130512029.15520006</v>
      </c>
      <c r="K22" s="95">
        <f>'Sales Forecast'!K18</f>
        <v>133122269.73830406</v>
      </c>
      <c r="L22" s="95">
        <f>'Sales Forecast'!L18</f>
        <v>135784715.13307014</v>
      </c>
    </row>
    <row r="23" spans="2:12" x14ac:dyDescent="0.2">
      <c r="B23" s="80" t="s">
        <v>64</v>
      </c>
      <c r="C23" s="95">
        <f t="shared" ref="C23:L23" ca="1" si="5">C4+C9-C14</f>
        <v>63</v>
      </c>
      <c r="D23" s="95">
        <f t="shared" ca="1" si="5"/>
        <v>61</v>
      </c>
      <c r="E23" s="95">
        <f t="shared" ca="1" si="5"/>
        <v>59</v>
      </c>
      <c r="F23" s="95">
        <f t="shared" ca="1" si="5"/>
        <v>56</v>
      </c>
      <c r="G23" s="95">
        <f t="shared" ca="1" si="5"/>
        <v>55</v>
      </c>
      <c r="H23" s="95">
        <f t="shared" ca="1" si="5"/>
        <v>53</v>
      </c>
      <c r="I23" s="95">
        <f t="shared" ca="1" si="5"/>
        <v>51</v>
      </c>
      <c r="J23" s="95">
        <f t="shared" ca="1" si="5"/>
        <v>49</v>
      </c>
      <c r="K23" s="95">
        <f t="shared" ca="1" si="5"/>
        <v>47</v>
      </c>
      <c r="L23" s="95">
        <f t="shared" ca="1" si="5"/>
        <v>46</v>
      </c>
    </row>
    <row r="24" spans="2:12" x14ac:dyDescent="0.2">
      <c r="B24" s="80" t="s">
        <v>123</v>
      </c>
      <c r="C24" s="95">
        <f ca="1">-C23/365*C22</f>
        <v>-14498630.136986302</v>
      </c>
      <c r="D24" s="95">
        <f t="shared" ref="D24:L24" ca="1" si="6">-D23/365*D22</f>
        <v>-15442191.780821921</v>
      </c>
      <c r="E24" s="95">
        <f t="shared" ca="1" si="6"/>
        <v>-16429479.4520548</v>
      </c>
      <c r="F24" s="95">
        <f t="shared" ca="1" si="6"/>
        <v>-17153490.410958912</v>
      </c>
      <c r="G24" s="95">
        <f t="shared" ca="1" si="6"/>
        <v>-18531895.890410967</v>
      </c>
      <c r="H24" s="95">
        <f t="shared" ca="1" si="6"/>
        <v>-18215168.94246576</v>
      </c>
      <c r="I24" s="95">
        <f t="shared" ca="1" si="6"/>
        <v>-17878360.158246584</v>
      </c>
      <c r="J24" s="95">
        <f t="shared" ca="1" si="6"/>
        <v>-17520792.955081653</v>
      </c>
      <c r="K24" s="95">
        <f t="shared" ca="1" si="6"/>
        <v>-17141771.719726823</v>
      </c>
      <c r="L24" s="95">
        <f t="shared" ca="1" si="6"/>
        <v>-17112594.235948566</v>
      </c>
    </row>
    <row r="25" spans="2:12" ht="15" thickBot="1" x14ac:dyDescent="0.25">
      <c r="B25" s="96" t="s">
        <v>15</v>
      </c>
      <c r="C25" s="97">
        <f ca="1">C24</f>
        <v>-14498630.136986302</v>
      </c>
      <c r="D25" s="97">
        <f ca="1">D24-C24</f>
        <v>-943561.64383561909</v>
      </c>
      <c r="E25" s="97">
        <f ca="1">E24-D24</f>
        <v>-987287.67123287916</v>
      </c>
      <c r="F25" s="97">
        <f t="shared" ref="F25:L25" ca="1" si="7">F24-E24</f>
        <v>-724010.95890411176</v>
      </c>
      <c r="G25" s="97">
        <f t="shared" ca="1" si="7"/>
        <v>-1378405.4794520549</v>
      </c>
      <c r="H25" s="97">
        <f t="shared" ca="1" si="7"/>
        <v>316726.94794520736</v>
      </c>
      <c r="I25" s="97">
        <f t="shared" ca="1" si="7"/>
        <v>336808.78421917558</v>
      </c>
      <c r="J25" s="97">
        <f t="shared" ca="1" si="7"/>
        <v>357567.20316493139</v>
      </c>
      <c r="K25" s="97">
        <f t="shared" ca="1" si="7"/>
        <v>379021.23535482958</v>
      </c>
      <c r="L25" s="97">
        <f t="shared" ca="1" si="7"/>
        <v>29177.483778256923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N22"/>
  <sheetViews>
    <sheetView zoomScale="140" zoomScaleNormal="140" workbookViewId="0">
      <selection activeCell="M21" sqref="M21"/>
    </sheetView>
  </sheetViews>
  <sheetFormatPr defaultColWidth="9.140625" defaultRowHeight="14.25" x14ac:dyDescent="0.2"/>
  <cols>
    <col min="1" max="1" width="2" style="81" customWidth="1"/>
    <col min="2" max="2" width="31" style="81" bestFit="1" customWidth="1"/>
    <col min="3" max="3" width="12.5703125" style="81" bestFit="1" customWidth="1"/>
    <col min="4" max="4" width="13.85546875" style="81" bestFit="1" customWidth="1"/>
    <col min="5" max="13" width="12" style="81" bestFit="1" customWidth="1"/>
    <col min="14" max="16384" width="9.140625" style="81"/>
  </cols>
  <sheetData>
    <row r="1" spans="2:14" ht="15.75" x14ac:dyDescent="0.25">
      <c r="B1" s="63" t="s">
        <v>16</v>
      </c>
      <c r="C1" s="98"/>
    </row>
    <row r="3" spans="2:14" x14ac:dyDescent="0.2">
      <c r="B3" s="80" t="s">
        <v>24</v>
      </c>
      <c r="C3" s="99">
        <f>'Fixed Asset Roll-Forward'!$C$14</f>
        <v>72000000</v>
      </c>
      <c r="D3" s="95"/>
      <c r="E3" s="95"/>
      <c r="F3" s="95"/>
      <c r="G3" s="95"/>
      <c r="H3" s="95"/>
      <c r="I3" s="95"/>
      <c r="J3" s="95"/>
      <c r="K3" s="95"/>
      <c r="L3" s="95"/>
    </row>
    <row r="5" spans="2:14" ht="15.75" thickBot="1" x14ac:dyDescent="0.3">
      <c r="B5" s="82" t="s">
        <v>126</v>
      </c>
      <c r="C5" s="100"/>
    </row>
    <row r="6" spans="2:14" x14ac:dyDescent="0.2">
      <c r="B6" s="80" t="s">
        <v>45</v>
      </c>
      <c r="C6" s="95">
        <f>Drivers!C15</f>
        <v>40000000</v>
      </c>
    </row>
    <row r="7" spans="2:14" x14ac:dyDescent="0.2">
      <c r="B7" s="80" t="s">
        <v>128</v>
      </c>
      <c r="C7" s="101">
        <f>Drivers!C16</f>
        <v>0.03</v>
      </c>
    </row>
    <row r="8" spans="2:14" x14ac:dyDescent="0.2">
      <c r="B8" s="80" t="s">
        <v>127</v>
      </c>
      <c r="C8" s="102" t="s">
        <v>23</v>
      </c>
    </row>
    <row r="9" spans="2:14" x14ac:dyDescent="0.2">
      <c r="B9" s="80"/>
      <c r="C9" s="102"/>
    </row>
    <row r="10" spans="2:14" ht="15" thickBot="1" x14ac:dyDescent="0.25">
      <c r="B10" s="82" t="s">
        <v>6</v>
      </c>
      <c r="C10" s="87">
        <v>0</v>
      </c>
      <c r="D10" s="87">
        <v>1</v>
      </c>
      <c r="E10" s="87">
        <v>2</v>
      </c>
      <c r="F10" s="87">
        <v>3</v>
      </c>
      <c r="G10" s="87">
        <v>4</v>
      </c>
      <c r="H10" s="87">
        <v>5</v>
      </c>
      <c r="I10" s="87">
        <v>6</v>
      </c>
      <c r="J10" s="87">
        <v>7</v>
      </c>
      <c r="K10" s="87">
        <v>8</v>
      </c>
      <c r="L10" s="87">
        <v>9</v>
      </c>
      <c r="M10" s="87">
        <v>10</v>
      </c>
    </row>
    <row r="11" spans="2:14" x14ac:dyDescent="0.2">
      <c r="B11" s="95" t="s">
        <v>44</v>
      </c>
      <c r="C11" s="95">
        <f>C6</f>
        <v>40000000</v>
      </c>
      <c r="D11" s="95">
        <f>C14</f>
        <v>40000000</v>
      </c>
      <c r="E11" s="95">
        <f>D14</f>
        <v>38000000</v>
      </c>
      <c r="F11" s="95">
        <f t="shared" ref="F11:M11" si="0">E14</f>
        <v>36000000</v>
      </c>
      <c r="G11" s="95">
        <f t="shared" si="0"/>
        <v>32000000</v>
      </c>
      <c r="H11" s="95">
        <f t="shared" si="0"/>
        <v>28000000</v>
      </c>
      <c r="I11" s="95">
        <f t="shared" si="0"/>
        <v>24000000</v>
      </c>
      <c r="J11" s="95">
        <f t="shared" si="0"/>
        <v>20000000</v>
      </c>
      <c r="K11" s="95">
        <f t="shared" si="0"/>
        <v>16000000</v>
      </c>
      <c r="L11" s="95">
        <f t="shared" si="0"/>
        <v>12000000</v>
      </c>
      <c r="M11" s="95">
        <f t="shared" si="0"/>
        <v>6000000</v>
      </c>
      <c r="N11" s="95"/>
    </row>
    <row r="12" spans="2:14" x14ac:dyDescent="0.2">
      <c r="B12" s="95" t="s">
        <v>42</v>
      </c>
      <c r="C12" s="95">
        <f>-$C$11*C13</f>
        <v>0</v>
      </c>
      <c r="D12" s="95">
        <f>-$D$11*D13</f>
        <v>-2000000</v>
      </c>
      <c r="E12" s="95">
        <f t="shared" ref="E12:M12" si="1">-$D$11*E13</f>
        <v>-2000000</v>
      </c>
      <c r="F12" s="95">
        <f t="shared" si="1"/>
        <v>-4000000</v>
      </c>
      <c r="G12" s="95">
        <f t="shared" si="1"/>
        <v>-4000000</v>
      </c>
      <c r="H12" s="95">
        <f t="shared" si="1"/>
        <v>-4000000</v>
      </c>
      <c r="I12" s="95">
        <f t="shared" si="1"/>
        <v>-4000000</v>
      </c>
      <c r="J12" s="95">
        <f t="shared" si="1"/>
        <v>-4000000</v>
      </c>
      <c r="K12" s="95">
        <f t="shared" si="1"/>
        <v>-4000000</v>
      </c>
      <c r="L12" s="95">
        <f t="shared" si="1"/>
        <v>-6000000</v>
      </c>
      <c r="M12" s="95">
        <f t="shared" si="1"/>
        <v>-6000000</v>
      </c>
    </row>
    <row r="13" spans="2:14" ht="15" thickBot="1" x14ac:dyDescent="0.25">
      <c r="B13" s="95" t="s">
        <v>41</v>
      </c>
      <c r="C13" s="103">
        <f>Drivers!C20</f>
        <v>0</v>
      </c>
      <c r="D13" s="103">
        <f>Drivers!D20</f>
        <v>0.05</v>
      </c>
      <c r="E13" s="103">
        <f>Drivers!E20</f>
        <v>0.05</v>
      </c>
      <c r="F13" s="103">
        <f>Drivers!F20</f>
        <v>0.1</v>
      </c>
      <c r="G13" s="103">
        <f>Drivers!G20</f>
        <v>0.1</v>
      </c>
      <c r="H13" s="103">
        <f>Drivers!H20</f>
        <v>0.1</v>
      </c>
      <c r="I13" s="103">
        <f>Drivers!I20</f>
        <v>0.1</v>
      </c>
      <c r="J13" s="103">
        <f>Drivers!J20</f>
        <v>0.1</v>
      </c>
      <c r="K13" s="103">
        <f>Drivers!K20</f>
        <v>0.1</v>
      </c>
      <c r="L13" s="103">
        <v>0.15</v>
      </c>
      <c r="M13" s="103">
        <v>0.15</v>
      </c>
    </row>
    <row r="14" spans="2:14" x14ac:dyDescent="0.2">
      <c r="B14" s="104" t="s">
        <v>43</v>
      </c>
      <c r="C14" s="105">
        <f>SUM(C11:C12)</f>
        <v>40000000</v>
      </c>
      <c r="D14" s="105">
        <f>SUM(D11:D12)</f>
        <v>38000000</v>
      </c>
      <c r="E14" s="105">
        <f t="shared" ref="E14:M14" si="2">SUM(E11:E12)</f>
        <v>36000000</v>
      </c>
      <c r="F14" s="105">
        <f t="shared" si="2"/>
        <v>32000000</v>
      </c>
      <c r="G14" s="105">
        <f t="shared" si="2"/>
        <v>28000000</v>
      </c>
      <c r="H14" s="105">
        <f t="shared" si="2"/>
        <v>24000000</v>
      </c>
      <c r="I14" s="105">
        <f t="shared" si="2"/>
        <v>20000000</v>
      </c>
      <c r="J14" s="105">
        <f t="shared" si="2"/>
        <v>16000000</v>
      </c>
      <c r="K14" s="105">
        <f t="shared" si="2"/>
        <v>12000000</v>
      </c>
      <c r="L14" s="105">
        <f t="shared" si="2"/>
        <v>6000000</v>
      </c>
      <c r="M14" s="105">
        <f t="shared" si="2"/>
        <v>0</v>
      </c>
    </row>
    <row r="15" spans="2:14" x14ac:dyDescent="0.2">
      <c r="B15" s="106"/>
      <c r="C15" s="106"/>
      <c r="D15" s="106"/>
      <c r="E15" s="106"/>
      <c r="F15" s="106"/>
      <c r="G15" s="106"/>
      <c r="H15" s="106"/>
      <c r="I15" s="106"/>
      <c r="J15" s="106"/>
      <c r="K15" s="106"/>
      <c r="L15" s="106"/>
    </row>
    <row r="16" spans="2:14" x14ac:dyDescent="0.2">
      <c r="B16" s="107" t="s">
        <v>124</v>
      </c>
      <c r="C16" s="106">
        <f t="shared" ref="C16:M16" si="3">IF(C10=0,0,-C11*$C$7)</f>
        <v>0</v>
      </c>
      <c r="D16" s="106">
        <f t="shared" si="3"/>
        <v>-1200000</v>
      </c>
      <c r="E16" s="106">
        <f t="shared" si="3"/>
        <v>-1140000</v>
      </c>
      <c r="F16" s="106">
        <f t="shared" si="3"/>
        <v>-1080000</v>
      </c>
      <c r="G16" s="106">
        <f t="shared" si="3"/>
        <v>-960000</v>
      </c>
      <c r="H16" s="106">
        <f t="shared" si="3"/>
        <v>-840000</v>
      </c>
      <c r="I16" s="106">
        <f t="shared" si="3"/>
        <v>-720000</v>
      </c>
      <c r="J16" s="106">
        <f t="shared" si="3"/>
        <v>-600000</v>
      </c>
      <c r="K16" s="106">
        <f t="shared" si="3"/>
        <v>-480000</v>
      </c>
      <c r="L16" s="106">
        <f t="shared" si="3"/>
        <v>-360000</v>
      </c>
      <c r="M16" s="106">
        <f t="shared" si="3"/>
        <v>-180000</v>
      </c>
    </row>
    <row r="18" spans="2:13" ht="15" thickBot="1" x14ac:dyDescent="0.25">
      <c r="B18" s="108" t="s">
        <v>25</v>
      </c>
      <c r="C18" s="109">
        <f>'Cash Flow'!C14</f>
        <v>-72000000</v>
      </c>
      <c r="D18" s="109">
        <f ca="1">'Cash Flow'!D14</f>
        <v>-11124630.136986302</v>
      </c>
      <c r="E18" s="109">
        <f ca="1">'Cash Flow'!E14</f>
        <v>10321338.356164381</v>
      </c>
      <c r="F18" s="109">
        <f ca="1">'Cash Flow'!F14</f>
        <v>9722392.3287671208</v>
      </c>
      <c r="G18" s="109">
        <f ca="1">'Cash Flow'!G14</f>
        <v>11610377.041095898</v>
      </c>
      <c r="H18" s="109">
        <f ca="1">'Cash Flow'!H14</f>
        <v>12730101.320547953</v>
      </c>
      <c r="I18" s="109">
        <f ca="1">'Cash Flow'!I14</f>
        <v>14917407.883945215</v>
      </c>
      <c r="J18" s="109">
        <f ca="1">'Cash Flow'!J14</f>
        <v>15436895.338939182</v>
      </c>
      <c r="K18" s="109">
        <f ca="1">'Cash Flow'!K14</f>
        <v>15964435.488979343</v>
      </c>
      <c r="L18" s="109">
        <f ca="1">'Cash Flow'!L14</f>
        <v>14500194.886885528</v>
      </c>
      <c r="M18" s="109">
        <f ca="1">'Cash Flow'!M14</f>
        <v>14716430.608339563</v>
      </c>
    </row>
    <row r="19" spans="2:13" x14ac:dyDescent="0.2">
      <c r="B19" s="107" t="s">
        <v>125</v>
      </c>
      <c r="C19" s="110">
        <f>-(C14+C18)</f>
        <v>32000000</v>
      </c>
      <c r="D19" s="110">
        <f ca="1">IF(D18&gt;0,C19,C19-D18)</f>
        <v>43124630.1369863</v>
      </c>
      <c r="E19" s="110">
        <f t="shared" ref="E19:M19" ca="1" si="4">IF(E18&gt;0,D19,D19-E18)</f>
        <v>43124630.1369863</v>
      </c>
      <c r="F19" s="110">
        <f t="shared" ca="1" si="4"/>
        <v>43124630.1369863</v>
      </c>
      <c r="G19" s="110">
        <f t="shared" ca="1" si="4"/>
        <v>43124630.1369863</v>
      </c>
      <c r="H19" s="110">
        <f t="shared" ca="1" si="4"/>
        <v>43124630.1369863</v>
      </c>
      <c r="I19" s="110">
        <f t="shared" ca="1" si="4"/>
        <v>43124630.1369863</v>
      </c>
      <c r="J19" s="110">
        <f t="shared" ca="1" si="4"/>
        <v>43124630.1369863</v>
      </c>
      <c r="K19" s="110">
        <f t="shared" ca="1" si="4"/>
        <v>43124630.1369863</v>
      </c>
      <c r="L19" s="110">
        <f t="shared" ca="1" si="4"/>
        <v>43124630.1369863</v>
      </c>
      <c r="M19" s="110">
        <f t="shared" ca="1" si="4"/>
        <v>43124630.1369863</v>
      </c>
    </row>
    <row r="21" spans="2:13" x14ac:dyDescent="0.2">
      <c r="D21" s="111"/>
    </row>
    <row r="22" spans="2:13" x14ac:dyDescent="0.2">
      <c r="D22" s="111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M17"/>
  <sheetViews>
    <sheetView zoomScale="140" zoomScaleNormal="140" workbookViewId="0">
      <selection activeCell="L16" sqref="L16"/>
    </sheetView>
  </sheetViews>
  <sheetFormatPr defaultColWidth="9.140625" defaultRowHeight="14.25" x14ac:dyDescent="0.2"/>
  <cols>
    <col min="1" max="1" width="2" style="81" customWidth="1"/>
    <col min="2" max="2" width="38.42578125" style="81" customWidth="1"/>
    <col min="3" max="3" width="22.42578125" style="81" customWidth="1"/>
    <col min="4" max="6" width="11.5703125" style="81" bestFit="1" customWidth="1"/>
    <col min="7" max="12" width="12.28515625" style="81" bestFit="1" customWidth="1"/>
    <col min="13" max="16384" width="9.140625" style="81"/>
  </cols>
  <sheetData>
    <row r="1" spans="2:13" ht="15.75" x14ac:dyDescent="0.25">
      <c r="B1" s="63" t="s">
        <v>18</v>
      </c>
      <c r="C1" s="98"/>
    </row>
    <row r="2" spans="2:13" ht="15.75" x14ac:dyDescent="0.25">
      <c r="B2" s="98"/>
      <c r="C2" s="98"/>
    </row>
    <row r="3" spans="2:13" ht="15" thickBot="1" x14ac:dyDescent="0.25">
      <c r="B3" s="82" t="s">
        <v>75</v>
      </c>
      <c r="C3" s="83"/>
    </row>
    <row r="4" spans="2:13" x14ac:dyDescent="0.2">
      <c r="B4" s="80" t="s">
        <v>79</v>
      </c>
      <c r="C4" s="90">
        <f>Drivers!C50</f>
        <v>0.75</v>
      </c>
    </row>
    <row r="5" spans="2:13" x14ac:dyDescent="0.2">
      <c r="B5" s="80" t="s">
        <v>129</v>
      </c>
      <c r="C5" s="90">
        <f>Drivers!C51</f>
        <v>0.05</v>
      </c>
    </row>
    <row r="7" spans="2:13" ht="15" thickBot="1" x14ac:dyDescent="0.25">
      <c r="B7" s="82" t="s">
        <v>6</v>
      </c>
      <c r="C7" s="87">
        <v>1</v>
      </c>
      <c r="D7" s="87">
        <v>2</v>
      </c>
      <c r="E7" s="87">
        <v>3</v>
      </c>
      <c r="F7" s="87">
        <v>4</v>
      </c>
      <c r="G7" s="87">
        <v>5</v>
      </c>
      <c r="H7" s="87">
        <v>6</v>
      </c>
      <c r="I7" s="87">
        <v>7</v>
      </c>
      <c r="J7" s="87">
        <v>8</v>
      </c>
      <c r="K7" s="87">
        <v>9</v>
      </c>
      <c r="L7" s="87">
        <v>10</v>
      </c>
    </row>
    <row r="8" spans="2:13" x14ac:dyDescent="0.2">
      <c r="B8" s="80" t="s">
        <v>60</v>
      </c>
      <c r="C8" s="95">
        <f>'Sales Forecast'!C18</f>
        <v>84000000</v>
      </c>
      <c r="D8" s="95">
        <f>'Sales Forecast'!D18</f>
        <v>92400000.000000015</v>
      </c>
      <c r="E8" s="95">
        <f>'Sales Forecast'!E18</f>
        <v>101640000.00000003</v>
      </c>
      <c r="F8" s="95">
        <f>'Sales Forecast'!F18</f>
        <v>111804000.00000004</v>
      </c>
      <c r="G8" s="95">
        <f>'Sales Forecast'!G18</f>
        <v>122984400.00000006</v>
      </c>
      <c r="H8" s="95">
        <f>'Sales Forecast'!H18</f>
        <v>125444088.00000006</v>
      </c>
      <c r="I8" s="95">
        <f>'Sales Forecast'!I18</f>
        <v>127952969.76000006</v>
      </c>
      <c r="J8" s="95">
        <f>'Sales Forecast'!J18</f>
        <v>130512029.15520006</v>
      </c>
      <c r="K8" s="95">
        <f>'Sales Forecast'!K18</f>
        <v>133122269.73830406</v>
      </c>
      <c r="L8" s="95">
        <f>'Sales Forecast'!L18</f>
        <v>135784715.13307014</v>
      </c>
    </row>
    <row r="9" spans="2:13" x14ac:dyDescent="0.2">
      <c r="B9" s="80" t="s">
        <v>66</v>
      </c>
      <c r="C9" s="95">
        <f>-C8*$C$4</f>
        <v>-63000000</v>
      </c>
      <c r="D9" s="95">
        <f t="shared" ref="D9:L9" si="0">-D8*$C$4</f>
        <v>-69300000.000000015</v>
      </c>
      <c r="E9" s="95">
        <f t="shared" si="0"/>
        <v>-76230000.00000003</v>
      </c>
      <c r="F9" s="95">
        <f t="shared" si="0"/>
        <v>-83853000.00000003</v>
      </c>
      <c r="G9" s="95">
        <f t="shared" si="0"/>
        <v>-92238300.000000045</v>
      </c>
      <c r="H9" s="95">
        <f t="shared" si="0"/>
        <v>-94083066.000000045</v>
      </c>
      <c r="I9" s="95">
        <f t="shared" si="0"/>
        <v>-95964727.320000052</v>
      </c>
      <c r="J9" s="95">
        <f t="shared" si="0"/>
        <v>-97884021.866400048</v>
      </c>
      <c r="K9" s="95">
        <f t="shared" si="0"/>
        <v>-99841702.303728044</v>
      </c>
      <c r="L9" s="95">
        <f t="shared" si="0"/>
        <v>-101838536.34980261</v>
      </c>
      <c r="M9" s="95"/>
    </row>
    <row r="10" spans="2:13" x14ac:dyDescent="0.2">
      <c r="B10" s="112" t="s">
        <v>67</v>
      </c>
      <c r="C10" s="113">
        <f>-C8*$C$5</f>
        <v>-4200000</v>
      </c>
      <c r="D10" s="113">
        <f t="shared" ref="D10:L10" si="1">-D8*$C$5</f>
        <v>-4620000.0000000009</v>
      </c>
      <c r="E10" s="113">
        <f t="shared" si="1"/>
        <v>-5082000.0000000019</v>
      </c>
      <c r="F10" s="113">
        <f t="shared" si="1"/>
        <v>-5590200.0000000028</v>
      </c>
      <c r="G10" s="113">
        <f t="shared" si="1"/>
        <v>-6149220.0000000037</v>
      </c>
      <c r="H10" s="113">
        <f t="shared" si="1"/>
        <v>-6272204.4000000032</v>
      </c>
      <c r="I10" s="113">
        <f t="shared" si="1"/>
        <v>-6397648.4880000036</v>
      </c>
      <c r="J10" s="113">
        <f t="shared" si="1"/>
        <v>-6525601.4577600034</v>
      </c>
      <c r="K10" s="113">
        <f t="shared" si="1"/>
        <v>-6656113.4869152037</v>
      </c>
      <c r="L10" s="113">
        <f t="shared" si="1"/>
        <v>-6789235.7566535072</v>
      </c>
      <c r="M10" s="95"/>
    </row>
    <row r="11" spans="2:13" x14ac:dyDescent="0.2">
      <c r="B11" s="80" t="s">
        <v>65</v>
      </c>
      <c r="C11" s="95">
        <f>SUM(C8:C10)</f>
        <v>16800000</v>
      </c>
      <c r="D11" s="95">
        <f t="shared" ref="D11:L11" si="2">SUM(D8:D10)</f>
        <v>18480000</v>
      </c>
      <c r="E11" s="95">
        <f t="shared" si="2"/>
        <v>20328000</v>
      </c>
      <c r="F11" s="95">
        <f t="shared" si="2"/>
        <v>22360800.000000011</v>
      </c>
      <c r="G11" s="95">
        <f t="shared" si="2"/>
        <v>24596880.000000011</v>
      </c>
      <c r="H11" s="95">
        <f t="shared" si="2"/>
        <v>25088817.600000013</v>
      </c>
      <c r="I11" s="95">
        <f t="shared" si="2"/>
        <v>25590593.952000007</v>
      </c>
      <c r="J11" s="95">
        <f t="shared" si="2"/>
        <v>26102405.831040014</v>
      </c>
      <c r="K11" s="95">
        <f t="shared" si="2"/>
        <v>26624453.947660815</v>
      </c>
      <c r="L11" s="95">
        <f t="shared" si="2"/>
        <v>27156943.026614022</v>
      </c>
    </row>
    <row r="12" spans="2:13" x14ac:dyDescent="0.2">
      <c r="B12" s="80" t="s">
        <v>2</v>
      </c>
      <c r="C12" s="95">
        <f>'Fixed Asset Roll-Forward'!C16</f>
        <v>-7200000</v>
      </c>
      <c r="D12" s="95">
        <f>'Fixed Asset Roll-Forward'!D16</f>
        <v>-8000000</v>
      </c>
      <c r="E12" s="95">
        <f>'Fixed Asset Roll-Forward'!E16</f>
        <v>-8160000</v>
      </c>
      <c r="F12" s="95">
        <f>'Fixed Asset Roll-Forward'!F16</f>
        <v>-8320000</v>
      </c>
      <c r="G12" s="95">
        <f>'Fixed Asset Roll-Forward'!G16</f>
        <v>-8480000</v>
      </c>
      <c r="H12" s="95">
        <f>'Fixed Asset Roll-Forward'!H16</f>
        <v>-8640000</v>
      </c>
      <c r="I12" s="95">
        <f>'Fixed Asset Roll-Forward'!I16</f>
        <v>-8800000</v>
      </c>
      <c r="J12" s="95">
        <f>'Fixed Asset Roll-Forward'!J16</f>
        <v>-8960000</v>
      </c>
      <c r="K12" s="95">
        <f>'Fixed Asset Roll-Forward'!K16</f>
        <v>-9120000</v>
      </c>
      <c r="L12" s="95">
        <f>'Fixed Asset Roll-Forward'!L16</f>
        <v>-9280000</v>
      </c>
    </row>
    <row r="13" spans="2:13" x14ac:dyDescent="0.2">
      <c r="B13" s="114" t="s">
        <v>19</v>
      </c>
      <c r="C13" s="115">
        <f>SUM(C11:C12)</f>
        <v>9600000</v>
      </c>
      <c r="D13" s="115">
        <f t="shared" ref="D13:L13" si="3">SUM(D11:D12)</f>
        <v>10480000</v>
      </c>
      <c r="E13" s="115">
        <f t="shared" si="3"/>
        <v>12168000</v>
      </c>
      <c r="F13" s="115">
        <f t="shared" si="3"/>
        <v>14040800.000000011</v>
      </c>
      <c r="G13" s="115">
        <f t="shared" si="3"/>
        <v>16116880.000000011</v>
      </c>
      <c r="H13" s="115">
        <f t="shared" si="3"/>
        <v>16448817.600000013</v>
      </c>
      <c r="I13" s="115">
        <f t="shared" si="3"/>
        <v>16790593.952000007</v>
      </c>
      <c r="J13" s="115">
        <f t="shared" si="3"/>
        <v>17142405.831040014</v>
      </c>
      <c r="K13" s="115">
        <f t="shared" si="3"/>
        <v>17504453.947660815</v>
      </c>
      <c r="L13" s="115">
        <f t="shared" si="3"/>
        <v>17876943.026614022</v>
      </c>
    </row>
    <row r="14" spans="2:13" x14ac:dyDescent="0.2">
      <c r="B14" s="80" t="s">
        <v>130</v>
      </c>
      <c r="C14" s="95">
        <f>Financing!D16</f>
        <v>-1200000</v>
      </c>
      <c r="D14" s="95">
        <f>Financing!E16</f>
        <v>-1140000</v>
      </c>
      <c r="E14" s="95">
        <f>Financing!F16</f>
        <v>-1080000</v>
      </c>
      <c r="F14" s="95">
        <f>Financing!G16</f>
        <v>-960000</v>
      </c>
      <c r="G14" s="95">
        <f>Financing!H16</f>
        <v>-840000</v>
      </c>
      <c r="H14" s="95">
        <f>Financing!I16</f>
        <v>-720000</v>
      </c>
      <c r="I14" s="95">
        <f>Financing!J16</f>
        <v>-600000</v>
      </c>
      <c r="J14" s="95">
        <f>Financing!K16</f>
        <v>-480000</v>
      </c>
      <c r="K14" s="95">
        <f>Financing!L16</f>
        <v>-360000</v>
      </c>
      <c r="L14" s="95">
        <f>Financing!M16</f>
        <v>-180000</v>
      </c>
    </row>
    <row r="15" spans="2:13" x14ac:dyDescent="0.2">
      <c r="B15" s="114" t="s">
        <v>20</v>
      </c>
      <c r="C15" s="115">
        <f t="shared" ref="C15:L15" si="4">SUM(C13:C14)</f>
        <v>8400000</v>
      </c>
      <c r="D15" s="115">
        <f t="shared" si="4"/>
        <v>9340000</v>
      </c>
      <c r="E15" s="115">
        <f t="shared" si="4"/>
        <v>11088000</v>
      </c>
      <c r="F15" s="115">
        <f t="shared" si="4"/>
        <v>13080800.000000011</v>
      </c>
      <c r="G15" s="115">
        <f t="shared" si="4"/>
        <v>15276880.000000011</v>
      </c>
      <c r="H15" s="115">
        <f t="shared" si="4"/>
        <v>15728817.600000013</v>
      </c>
      <c r="I15" s="115">
        <f t="shared" si="4"/>
        <v>16190593.952000007</v>
      </c>
      <c r="J15" s="115">
        <f t="shared" si="4"/>
        <v>16662405.831040014</v>
      </c>
      <c r="K15" s="115">
        <f t="shared" si="4"/>
        <v>17144453.947660815</v>
      </c>
      <c r="L15" s="115">
        <f t="shared" si="4"/>
        <v>17696943.026614022</v>
      </c>
    </row>
    <row r="16" spans="2:13" ht="15" thickBot="1" x14ac:dyDescent="0.25">
      <c r="B16" s="80" t="s">
        <v>21</v>
      </c>
      <c r="C16" s="95">
        <f>IF(-'P&amp;L'!C15*Drivers!$C$53&gt;0,0,-'P&amp;L'!C15*Drivers!$C$53)</f>
        <v>-2226000</v>
      </c>
      <c r="D16" s="95">
        <f>IF(-'P&amp;L'!D15*Drivers!$C$53&gt;0,0,-'P&amp;L'!D15*Drivers!$C$53)</f>
        <v>-2475100</v>
      </c>
      <c r="E16" s="95">
        <f>IF(-'P&amp;L'!E15*Drivers!$C$53&gt;0,0,-'P&amp;L'!E15*Drivers!$C$53)</f>
        <v>-2938320</v>
      </c>
      <c r="F16" s="95">
        <f>IF(-'P&amp;L'!F15*Drivers!$C$53&gt;0,0,-'P&amp;L'!F15*Drivers!$C$53)</f>
        <v>-3466412.0000000033</v>
      </c>
      <c r="G16" s="95">
        <f>IF(-'P&amp;L'!G15*Drivers!$C$53&gt;0,0,-'P&amp;L'!G15*Drivers!$C$53)</f>
        <v>-4048373.200000003</v>
      </c>
      <c r="H16" s="95">
        <f>IF(-'P&amp;L'!H15*Drivers!$C$53&gt;0,0,-'P&amp;L'!H15*Drivers!$C$53)</f>
        <v>-4168136.6640000036</v>
      </c>
      <c r="I16" s="95">
        <f>IF(-'P&amp;L'!I15*Drivers!$C$53&gt;0,0,-'P&amp;L'!I15*Drivers!$C$53)</f>
        <v>-4290507.397280002</v>
      </c>
      <c r="J16" s="95">
        <f>IF(-'P&amp;L'!J15*Drivers!$C$53&gt;0,0,-'P&amp;L'!J15*Drivers!$C$53)</f>
        <v>-4415537.5452256035</v>
      </c>
      <c r="K16" s="95">
        <f>IF(-'P&amp;L'!K15*Drivers!$C$53&gt;0,0,-'P&amp;L'!K15*Drivers!$C$53)</f>
        <v>-4543280.2961301161</v>
      </c>
      <c r="L16" s="95">
        <f>IF(-'P&amp;L'!L15*Drivers!$C$53&gt;0,0,-'P&amp;L'!L15*Drivers!$C$53)</f>
        <v>-4689689.9020527164</v>
      </c>
    </row>
    <row r="17" spans="2:12" ht="15" thickBot="1" x14ac:dyDescent="0.25">
      <c r="B17" s="116" t="s">
        <v>22</v>
      </c>
      <c r="C17" s="117">
        <f>SUM(C15:C16)</f>
        <v>6174000</v>
      </c>
      <c r="D17" s="117">
        <f t="shared" ref="D17:L17" si="5">SUM(D15:D16)</f>
        <v>6864900</v>
      </c>
      <c r="E17" s="117">
        <f t="shared" si="5"/>
        <v>8149680</v>
      </c>
      <c r="F17" s="117">
        <f t="shared" si="5"/>
        <v>9614388.0000000075</v>
      </c>
      <c r="G17" s="117">
        <f t="shared" si="5"/>
        <v>11228506.800000008</v>
      </c>
      <c r="H17" s="117">
        <f t="shared" si="5"/>
        <v>11560680.936000008</v>
      </c>
      <c r="I17" s="117">
        <f t="shared" si="5"/>
        <v>11900086.554720005</v>
      </c>
      <c r="J17" s="117">
        <f t="shared" si="5"/>
        <v>12246868.28581441</v>
      </c>
      <c r="K17" s="117">
        <f t="shared" si="5"/>
        <v>12601173.651530698</v>
      </c>
      <c r="L17" s="117">
        <f t="shared" si="5"/>
        <v>13007253.124561306</v>
      </c>
    </row>
  </sheetData>
  <pageMargins left="0.7" right="0.7" top="0.75" bottom="0.75" header="0.3" footer="0.3"/>
  <pageSetup orientation="portrait" r:id="rId1"/>
  <ignoredErrors>
    <ignoredError sqref="C14:L14 C16" formula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O18"/>
  <sheetViews>
    <sheetView zoomScale="140" zoomScaleNormal="140" workbookViewId="0"/>
  </sheetViews>
  <sheetFormatPr defaultColWidth="9.140625" defaultRowHeight="12" x14ac:dyDescent="0.2"/>
  <cols>
    <col min="1" max="1" width="2" style="80" customWidth="1"/>
    <col min="2" max="2" width="22.42578125" style="80" bestFit="1" customWidth="1"/>
    <col min="3" max="3" width="12.5703125" style="80" bestFit="1" customWidth="1"/>
    <col min="4" max="5" width="11.5703125" style="80" customWidth="1"/>
    <col min="6" max="8" width="11.5703125" style="80" bestFit="1" customWidth="1"/>
    <col min="9" max="13" width="12.28515625" style="80" bestFit="1" customWidth="1"/>
    <col min="14" max="14" width="1.28515625" style="80" customWidth="1"/>
    <col min="15" max="15" width="13.140625" style="80" bestFit="1" customWidth="1"/>
    <col min="16" max="16384" width="9.140625" style="80"/>
  </cols>
  <sheetData>
    <row r="1" spans="2:15" ht="15.75" x14ac:dyDescent="0.25">
      <c r="B1" s="63" t="s">
        <v>37</v>
      </c>
      <c r="C1" s="98"/>
      <c r="D1" s="91"/>
    </row>
    <row r="3" spans="2:15" ht="12.75" thickBot="1" x14ac:dyDescent="0.25">
      <c r="B3" s="82" t="s">
        <v>6</v>
      </c>
      <c r="C3" s="87">
        <v>0</v>
      </c>
      <c r="D3" s="87">
        <v>1</v>
      </c>
      <c r="E3" s="87">
        <v>2</v>
      </c>
      <c r="F3" s="87">
        <v>3</v>
      </c>
      <c r="G3" s="87">
        <v>4</v>
      </c>
      <c r="H3" s="87">
        <v>5</v>
      </c>
      <c r="I3" s="87">
        <v>6</v>
      </c>
      <c r="J3" s="87">
        <v>7</v>
      </c>
      <c r="K3" s="87">
        <v>8</v>
      </c>
      <c r="L3" s="87">
        <v>9</v>
      </c>
      <c r="M3" s="87">
        <v>10</v>
      </c>
      <c r="N3" s="91"/>
      <c r="O3" s="118" t="s">
        <v>33</v>
      </c>
    </row>
    <row r="4" spans="2:15" x14ac:dyDescent="0.2">
      <c r="B4" s="80" t="s">
        <v>60</v>
      </c>
      <c r="C4" s="91"/>
      <c r="D4" s="95">
        <f>'Sales Forecast'!C18</f>
        <v>84000000</v>
      </c>
      <c r="E4" s="95">
        <f>'Sales Forecast'!D18</f>
        <v>92400000.000000015</v>
      </c>
      <c r="F4" s="95">
        <f>'Sales Forecast'!E18</f>
        <v>101640000.00000003</v>
      </c>
      <c r="G4" s="95">
        <f>'Sales Forecast'!F18</f>
        <v>111804000.00000004</v>
      </c>
      <c r="H4" s="95">
        <f>'Sales Forecast'!G18</f>
        <v>122984400.00000006</v>
      </c>
      <c r="I4" s="95">
        <f>'Sales Forecast'!H18</f>
        <v>125444088.00000006</v>
      </c>
      <c r="J4" s="95">
        <f>'Sales Forecast'!I18</f>
        <v>127952969.76000006</v>
      </c>
      <c r="K4" s="95">
        <f>'Sales Forecast'!J18</f>
        <v>130512029.15520006</v>
      </c>
      <c r="L4" s="95">
        <f>'Sales Forecast'!K18</f>
        <v>133122269.73830406</v>
      </c>
      <c r="M4" s="95">
        <f>'Sales Forecast'!L18</f>
        <v>135784715.13307014</v>
      </c>
      <c r="N4" s="91"/>
      <c r="O4" s="119"/>
    </row>
    <row r="5" spans="2:15" x14ac:dyDescent="0.2">
      <c r="B5" s="80" t="s">
        <v>66</v>
      </c>
      <c r="C5" s="91"/>
      <c r="D5" s="95">
        <f>-D4*Drivers!$C$50</f>
        <v>-63000000</v>
      </c>
      <c r="E5" s="95">
        <f>-E4*Drivers!$C$50</f>
        <v>-69300000.000000015</v>
      </c>
      <c r="F5" s="95">
        <f>-F4*Drivers!$C$50</f>
        <v>-76230000.00000003</v>
      </c>
      <c r="G5" s="95">
        <f>-G4*Drivers!$C$50</f>
        <v>-83853000.00000003</v>
      </c>
      <c r="H5" s="95">
        <f>-H4*Drivers!$C$50</f>
        <v>-92238300.000000045</v>
      </c>
      <c r="I5" s="95">
        <f>-I4*Drivers!$C$50</f>
        <v>-94083066.000000045</v>
      </c>
      <c r="J5" s="95">
        <f>-J4*Drivers!$C$50</f>
        <v>-95964727.320000052</v>
      </c>
      <c r="K5" s="95">
        <f>-K4*Drivers!$C$50</f>
        <v>-97884021.866400048</v>
      </c>
      <c r="L5" s="95">
        <f>-L4*Drivers!$C$50</f>
        <v>-99841702.303728044</v>
      </c>
      <c r="M5" s="95">
        <f>-M4*Drivers!$C$50</f>
        <v>-101838536.34980261</v>
      </c>
      <c r="N5" s="91"/>
      <c r="O5" s="119"/>
    </row>
    <row r="6" spans="2:15" x14ac:dyDescent="0.2">
      <c r="B6" s="112" t="s">
        <v>67</v>
      </c>
      <c r="C6" s="113">
        <v>0</v>
      </c>
      <c r="D6" s="113">
        <f>-D4*Drivers!$C$51</f>
        <v>-4200000</v>
      </c>
      <c r="E6" s="113">
        <f>-E4*Drivers!$C$51</f>
        <v>-4620000.0000000009</v>
      </c>
      <c r="F6" s="113">
        <f>-F4*Drivers!$C$51</f>
        <v>-5082000.0000000019</v>
      </c>
      <c r="G6" s="113">
        <f>-G4*Drivers!$C$51</f>
        <v>-5590200.0000000028</v>
      </c>
      <c r="H6" s="113">
        <f>-H4*Drivers!$C$51</f>
        <v>-6149220.0000000037</v>
      </c>
      <c r="I6" s="113">
        <f>-I4*Drivers!$C$51</f>
        <v>-6272204.4000000032</v>
      </c>
      <c r="J6" s="113">
        <f>-J4*Drivers!$C$51</f>
        <v>-6397648.4880000036</v>
      </c>
      <c r="K6" s="113">
        <f>-K4*Drivers!$C$51</f>
        <v>-6525601.4577600034</v>
      </c>
      <c r="L6" s="113">
        <f>-L4*Drivers!$C$51</f>
        <v>-6656113.4869152037</v>
      </c>
      <c r="M6" s="113">
        <f>-M4*Drivers!$C$51</f>
        <v>-6789235.7566535072</v>
      </c>
      <c r="N6" s="95"/>
    </row>
    <row r="7" spans="2:15" x14ac:dyDescent="0.2">
      <c r="B7" s="34" t="s">
        <v>65</v>
      </c>
      <c r="C7" s="95"/>
      <c r="D7" s="95">
        <f>SUM(D4:D6)</f>
        <v>16800000</v>
      </c>
      <c r="E7" s="95">
        <f t="shared" ref="E7:M7" si="0">SUM(E4:E6)</f>
        <v>18480000</v>
      </c>
      <c r="F7" s="95">
        <f t="shared" si="0"/>
        <v>20328000</v>
      </c>
      <c r="G7" s="95">
        <f t="shared" si="0"/>
        <v>22360800.000000011</v>
      </c>
      <c r="H7" s="95">
        <f t="shared" si="0"/>
        <v>24596880.000000011</v>
      </c>
      <c r="I7" s="95">
        <f t="shared" si="0"/>
        <v>25088817.600000013</v>
      </c>
      <c r="J7" s="95">
        <f t="shared" si="0"/>
        <v>25590593.952000007</v>
      </c>
      <c r="K7" s="95">
        <f t="shared" si="0"/>
        <v>26102405.831040014</v>
      </c>
      <c r="L7" s="95">
        <f t="shared" si="0"/>
        <v>26624453.947660815</v>
      </c>
      <c r="M7" s="95">
        <f t="shared" si="0"/>
        <v>27156943.026614022</v>
      </c>
      <c r="N7" s="95">
        <f t="shared" ref="N7" si="1">N4-N5-N6</f>
        <v>0</v>
      </c>
    </row>
    <row r="8" spans="2:15" x14ac:dyDescent="0.2">
      <c r="B8" s="80" t="s">
        <v>21</v>
      </c>
      <c r="C8" s="95">
        <v>0</v>
      </c>
      <c r="D8" s="95">
        <f>'P&amp;L'!C16</f>
        <v>-2226000</v>
      </c>
      <c r="E8" s="95">
        <f>'P&amp;L'!D16</f>
        <v>-2475100</v>
      </c>
      <c r="F8" s="95">
        <f>'P&amp;L'!E16</f>
        <v>-2938320</v>
      </c>
      <c r="G8" s="95">
        <f>'P&amp;L'!F16</f>
        <v>-3466412.0000000033</v>
      </c>
      <c r="H8" s="95">
        <f>'P&amp;L'!G16</f>
        <v>-4048373.200000003</v>
      </c>
      <c r="I8" s="95">
        <f>'P&amp;L'!H16</f>
        <v>-4168136.6640000036</v>
      </c>
      <c r="J8" s="95">
        <f>'P&amp;L'!I16</f>
        <v>-4290507.397280002</v>
      </c>
      <c r="K8" s="95">
        <f>'P&amp;L'!J16</f>
        <v>-4415537.5452256035</v>
      </c>
      <c r="L8" s="95">
        <f>'P&amp;L'!K16</f>
        <v>-4543280.2961301161</v>
      </c>
      <c r="M8" s="95">
        <f>'P&amp;L'!L16</f>
        <v>-4689689.9020527164</v>
      </c>
      <c r="N8" s="95"/>
    </row>
    <row r="9" spans="2:15" x14ac:dyDescent="0.2">
      <c r="B9" s="80" t="s">
        <v>15</v>
      </c>
      <c r="C9" s="95">
        <v>0</v>
      </c>
      <c r="D9" s="95">
        <f ca="1">'Working Capital'!C25</f>
        <v>-14498630.136986302</v>
      </c>
      <c r="E9" s="95">
        <f ca="1">'Working Capital'!D25</f>
        <v>-943561.64383561909</v>
      </c>
      <c r="F9" s="95">
        <f ca="1">'Working Capital'!E25</f>
        <v>-987287.67123287916</v>
      </c>
      <c r="G9" s="95">
        <f ca="1">'Working Capital'!F25</f>
        <v>-724010.95890411176</v>
      </c>
      <c r="H9" s="95">
        <f ca="1">'Working Capital'!G25</f>
        <v>-1378405.4794520549</v>
      </c>
      <c r="I9" s="95">
        <f ca="1">'Working Capital'!H25</f>
        <v>316726.94794520736</v>
      </c>
      <c r="J9" s="95">
        <f ca="1">'Working Capital'!I25</f>
        <v>336808.78421917558</v>
      </c>
      <c r="K9" s="95">
        <f ca="1">'Working Capital'!J25</f>
        <v>357567.20316493139</v>
      </c>
      <c r="L9" s="95">
        <f ca="1">'Working Capital'!K25</f>
        <v>379021.23535482958</v>
      </c>
      <c r="M9" s="95">
        <f ca="1">'Working Capital'!L25</f>
        <v>29177.483778256923</v>
      </c>
      <c r="N9" s="95"/>
    </row>
    <row r="10" spans="2:15" x14ac:dyDescent="0.2">
      <c r="B10" s="80" t="s">
        <v>5</v>
      </c>
      <c r="C10" s="95">
        <f>-'Fixed Asset Roll-Forward'!C14</f>
        <v>-72000000</v>
      </c>
      <c r="D10" s="95">
        <f>-'Fixed Asset Roll-Forward'!C15</f>
        <v>-8000000</v>
      </c>
      <c r="E10" s="95">
        <f>-'Fixed Asset Roll-Forward'!D15</f>
        <v>-1600000</v>
      </c>
      <c r="F10" s="95">
        <f>-'Fixed Asset Roll-Forward'!E15</f>
        <v>-1600000</v>
      </c>
      <c r="G10" s="95">
        <f>-'Fixed Asset Roll-Forward'!F15</f>
        <v>-1600000</v>
      </c>
      <c r="H10" s="95">
        <f>-'Fixed Asset Roll-Forward'!G15</f>
        <v>-1600000</v>
      </c>
      <c r="I10" s="95">
        <f>-'Fixed Asset Roll-Forward'!H15</f>
        <v>-1600000</v>
      </c>
      <c r="J10" s="95">
        <f>-'Fixed Asset Roll-Forward'!I15</f>
        <v>-1600000</v>
      </c>
      <c r="K10" s="95">
        <f>-'Fixed Asset Roll-Forward'!J15</f>
        <v>-1600000</v>
      </c>
      <c r="L10" s="95">
        <f>-'Fixed Asset Roll-Forward'!K15</f>
        <v>-1600000</v>
      </c>
      <c r="M10" s="95">
        <f>-'Fixed Asset Roll-Forward'!L15</f>
        <v>-1600000</v>
      </c>
      <c r="N10" s="95"/>
    </row>
    <row r="11" spans="2:15" ht="12.75" thickBot="1" x14ac:dyDescent="0.25">
      <c r="B11" s="114" t="s">
        <v>17</v>
      </c>
      <c r="C11" s="115">
        <f>SUM(C6:C10)</f>
        <v>-72000000</v>
      </c>
      <c r="D11" s="115">
        <f ca="1">SUM(D7:D10)</f>
        <v>-7924630.1369863022</v>
      </c>
      <c r="E11" s="115">
        <f t="shared" ref="E11:M11" ca="1" si="2">SUM(E7:E10)</f>
        <v>13461338.356164381</v>
      </c>
      <c r="F11" s="115">
        <f t="shared" ca="1" si="2"/>
        <v>14802392.328767121</v>
      </c>
      <c r="G11" s="115">
        <f t="shared" ca="1" si="2"/>
        <v>16570377.041095898</v>
      </c>
      <c r="H11" s="115">
        <f t="shared" ca="1" si="2"/>
        <v>17570101.320547953</v>
      </c>
      <c r="I11" s="115">
        <f t="shared" ca="1" si="2"/>
        <v>19637407.883945215</v>
      </c>
      <c r="J11" s="115">
        <f t="shared" ca="1" si="2"/>
        <v>20036895.338939182</v>
      </c>
      <c r="K11" s="115">
        <f t="shared" ca="1" si="2"/>
        <v>20444435.488979343</v>
      </c>
      <c r="L11" s="115">
        <f t="shared" ca="1" si="2"/>
        <v>20860194.886885528</v>
      </c>
      <c r="M11" s="115">
        <f t="shared" ca="1" si="2"/>
        <v>20896430.608339563</v>
      </c>
      <c r="N11" s="61"/>
      <c r="O11" s="120">
        <f>Drivers!C35-Financing!M14</f>
        <v>30000000</v>
      </c>
    </row>
    <row r="12" spans="2:15" x14ac:dyDescent="0.2">
      <c r="B12" s="80" t="s">
        <v>131</v>
      </c>
      <c r="C12" s="95">
        <v>0</v>
      </c>
      <c r="D12" s="95">
        <f>Financing!D12</f>
        <v>-2000000</v>
      </c>
      <c r="E12" s="95">
        <f>Financing!E12</f>
        <v>-2000000</v>
      </c>
      <c r="F12" s="95">
        <f>Financing!F12</f>
        <v>-4000000</v>
      </c>
      <c r="G12" s="95">
        <f>Financing!G12</f>
        <v>-4000000</v>
      </c>
      <c r="H12" s="95">
        <f>Financing!H12</f>
        <v>-4000000</v>
      </c>
      <c r="I12" s="95">
        <f>Financing!I12</f>
        <v>-4000000</v>
      </c>
      <c r="J12" s="95">
        <f>Financing!J12</f>
        <v>-4000000</v>
      </c>
      <c r="K12" s="95">
        <f>Financing!K12</f>
        <v>-4000000</v>
      </c>
      <c r="L12" s="95">
        <f>Financing!L12</f>
        <v>-6000000</v>
      </c>
      <c r="M12" s="95">
        <f>Financing!M12</f>
        <v>-6000000</v>
      </c>
      <c r="N12" s="95"/>
    </row>
    <row r="13" spans="2:15" x14ac:dyDescent="0.2">
      <c r="B13" s="80" t="s">
        <v>130</v>
      </c>
      <c r="C13" s="95">
        <v>0</v>
      </c>
      <c r="D13" s="95">
        <f>Financing!D16</f>
        <v>-1200000</v>
      </c>
      <c r="E13" s="95">
        <f>Financing!E16</f>
        <v>-1140000</v>
      </c>
      <c r="F13" s="95">
        <f>Financing!F16</f>
        <v>-1080000</v>
      </c>
      <c r="G13" s="95">
        <f>Financing!G16</f>
        <v>-960000</v>
      </c>
      <c r="H13" s="95">
        <f>Financing!H16</f>
        <v>-840000</v>
      </c>
      <c r="I13" s="95">
        <f>Financing!I16</f>
        <v>-720000</v>
      </c>
      <c r="J13" s="95">
        <f>Financing!J16</f>
        <v>-600000</v>
      </c>
      <c r="K13" s="95">
        <f>Financing!K16</f>
        <v>-480000</v>
      </c>
      <c r="L13" s="95">
        <f>Financing!L16</f>
        <v>-360000</v>
      </c>
      <c r="M13" s="95">
        <f>Financing!M16</f>
        <v>-180000</v>
      </c>
      <c r="N13" s="95"/>
    </row>
    <row r="14" spans="2:15" ht="12.75" thickBot="1" x14ac:dyDescent="0.25">
      <c r="B14" s="88" t="s">
        <v>25</v>
      </c>
      <c r="C14" s="89">
        <f t="shared" ref="C14:M14" si="3">SUM(C11:C13)</f>
        <v>-72000000</v>
      </c>
      <c r="D14" s="89">
        <f t="shared" ca="1" si="3"/>
        <v>-11124630.136986302</v>
      </c>
      <c r="E14" s="89">
        <f t="shared" ca="1" si="3"/>
        <v>10321338.356164381</v>
      </c>
      <c r="F14" s="89">
        <f t="shared" ca="1" si="3"/>
        <v>9722392.3287671208</v>
      </c>
      <c r="G14" s="89">
        <f t="shared" ca="1" si="3"/>
        <v>11610377.041095898</v>
      </c>
      <c r="H14" s="89">
        <f t="shared" ca="1" si="3"/>
        <v>12730101.320547953</v>
      </c>
      <c r="I14" s="89">
        <f t="shared" ca="1" si="3"/>
        <v>14917407.883945215</v>
      </c>
      <c r="J14" s="89">
        <f t="shared" ca="1" si="3"/>
        <v>15436895.338939182</v>
      </c>
      <c r="K14" s="89">
        <f t="shared" ca="1" si="3"/>
        <v>15964435.488979343</v>
      </c>
      <c r="L14" s="89">
        <f t="shared" ca="1" si="3"/>
        <v>14500194.886885528</v>
      </c>
      <c r="M14" s="89">
        <f t="shared" ca="1" si="3"/>
        <v>14716430.608339563</v>
      </c>
      <c r="N14" s="121"/>
    </row>
    <row r="16" spans="2:15" x14ac:dyDescent="0.2">
      <c r="D16" s="122"/>
      <c r="E16" s="122"/>
      <c r="F16" s="122"/>
      <c r="G16" s="122"/>
      <c r="H16" s="122"/>
      <c r="I16" s="122"/>
      <c r="J16" s="122"/>
      <c r="K16" s="122"/>
      <c r="L16" s="122"/>
      <c r="M16" s="122"/>
    </row>
    <row r="18" spans="4:15" x14ac:dyDescent="0.2"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9C5A5-4590-4807-92F4-A25488670575}">
  <sheetPr>
    <tabColor theme="0" tint="-0.14999847407452621"/>
  </sheetPr>
  <dimension ref="A1:AB109"/>
  <sheetViews>
    <sheetView showGridLines="0" zoomScale="120" zoomScaleNormal="120" workbookViewId="0">
      <selection activeCell="G25" sqref="G25"/>
    </sheetView>
  </sheetViews>
  <sheetFormatPr defaultColWidth="8.85546875" defaultRowHeight="12" x14ac:dyDescent="0.2"/>
  <cols>
    <col min="1" max="1" width="1.85546875" style="46" customWidth="1"/>
    <col min="2" max="2" width="12.28515625" style="46" customWidth="1"/>
    <col min="3" max="3" width="10.42578125" style="46" customWidth="1"/>
    <col min="4" max="4" width="13.42578125" style="46" customWidth="1"/>
    <col min="5" max="5" width="10.5703125" style="46" customWidth="1"/>
    <col min="6" max="6" width="10.85546875" style="47" customWidth="1"/>
    <col min="7" max="7" width="8.85546875" style="47"/>
    <col min="8" max="8" width="29.28515625" style="47" customWidth="1"/>
    <col min="9" max="16384" width="8.85546875" style="47"/>
  </cols>
  <sheetData>
    <row r="1" spans="1:28" ht="15.75" x14ac:dyDescent="0.2">
      <c r="B1" s="63" t="s">
        <v>144</v>
      </c>
    </row>
    <row r="4" spans="1:28" ht="36.75" thickBot="1" x14ac:dyDescent="0.25">
      <c r="A4" s="47"/>
      <c r="B4" s="73" t="s">
        <v>95</v>
      </c>
      <c r="C4" s="73" t="s">
        <v>101</v>
      </c>
      <c r="D4" s="73" t="s">
        <v>96</v>
      </c>
      <c r="E4" s="73" t="s">
        <v>102</v>
      </c>
      <c r="F4" s="73" t="s">
        <v>97</v>
      </c>
      <c r="G4" s="48"/>
      <c r="H4" s="74" t="s">
        <v>145</v>
      </c>
      <c r="I4" s="49"/>
      <c r="J4" s="48"/>
      <c r="K4" s="48"/>
      <c r="L4" s="48"/>
    </row>
    <row r="5" spans="1:28" x14ac:dyDescent="0.2">
      <c r="A5" s="47"/>
      <c r="B5" s="50">
        <v>43983</v>
      </c>
      <c r="C5" s="51">
        <v>242.55602999999999</v>
      </c>
      <c r="D5" s="51">
        <v>3193.93</v>
      </c>
      <c r="F5" s="46"/>
      <c r="G5" s="48"/>
      <c r="H5" s="48"/>
      <c r="I5" s="48"/>
      <c r="J5" s="48"/>
      <c r="K5" s="48"/>
      <c r="L5" s="48"/>
    </row>
    <row r="6" spans="1:28" x14ac:dyDescent="0.2">
      <c r="A6" s="47"/>
      <c r="B6" s="50">
        <v>43990</v>
      </c>
      <c r="C6" s="51">
        <v>232.086502</v>
      </c>
      <c r="D6" s="51">
        <v>3041.31</v>
      </c>
      <c r="E6" s="52">
        <f>(C6-C5)/C5</f>
        <v>-4.3163338384125088E-2</v>
      </c>
      <c r="F6" s="52">
        <f>(D6-D5)/D5</f>
        <v>-4.7784391016709789E-2</v>
      </c>
      <c r="G6" s="48"/>
      <c r="H6" s="48" t="s">
        <v>98</v>
      </c>
      <c r="I6" s="48"/>
      <c r="J6" s="53"/>
      <c r="K6" s="48"/>
      <c r="L6" s="48"/>
    </row>
    <row r="7" spans="1:28" x14ac:dyDescent="0.2">
      <c r="A7" s="47"/>
      <c r="B7" s="50">
        <v>43997</v>
      </c>
      <c r="C7" s="51">
        <v>236.10701</v>
      </c>
      <c r="D7" s="51">
        <v>3097.74</v>
      </c>
      <c r="E7" s="52">
        <f t="shared" ref="E7:E70" si="0">(C7-C6)/C6</f>
        <v>1.7323316803663173E-2</v>
      </c>
      <c r="F7" s="52">
        <f t="shared" ref="F7:F70" si="1">(D7-D6)/D6</f>
        <v>1.855450447340121E-2</v>
      </c>
      <c r="G7" s="48"/>
      <c r="H7" s="48"/>
      <c r="I7" s="48"/>
      <c r="J7" s="48"/>
      <c r="K7" s="48"/>
      <c r="L7" s="48"/>
    </row>
    <row r="8" spans="1:28" x14ac:dyDescent="0.2">
      <c r="A8" s="47"/>
      <c r="B8" s="50">
        <v>44004</v>
      </c>
      <c r="C8" s="51">
        <v>230.70808400000001</v>
      </c>
      <c r="D8" s="51">
        <v>3009.05</v>
      </c>
      <c r="E8" s="52">
        <f t="shared" si="0"/>
        <v>-2.2866436705966456E-2</v>
      </c>
      <c r="F8" s="52">
        <f t="shared" si="1"/>
        <v>-2.863055001388096E-2</v>
      </c>
      <c r="G8" s="48"/>
      <c r="H8" s="75" t="s">
        <v>104</v>
      </c>
      <c r="I8" s="54">
        <f>_xlfn.COVARIANCE.S(E6:E109,F6:F109)</f>
        <v>4.6856353858238639E-4</v>
      </c>
      <c r="J8" s="48"/>
      <c r="K8" s="48" t="str">
        <f ca="1">IF(I8="","",_xlfn.FORMULATEXT(I8))</f>
        <v>=COVARIANCE.S(E6:E109,F6:F109)</v>
      </c>
      <c r="L8" s="48"/>
    </row>
    <row r="9" spans="1:28" x14ac:dyDescent="0.2">
      <c r="A9" s="47"/>
      <c r="B9" s="50">
        <v>44011</v>
      </c>
      <c r="C9" s="51">
        <v>237.877914</v>
      </c>
      <c r="D9" s="51">
        <v>3130.01</v>
      </c>
      <c r="E9" s="52">
        <f t="shared" si="0"/>
        <v>3.107749791723809E-2</v>
      </c>
      <c r="F9" s="52">
        <f t="shared" si="1"/>
        <v>4.0198733819644082E-2</v>
      </c>
      <c r="G9" s="48"/>
      <c r="H9" s="75" t="s">
        <v>99</v>
      </c>
      <c r="I9" s="54">
        <f>_xlfn.VAR.S(F6:F109)</f>
        <v>5.169616177766016E-4</v>
      </c>
      <c r="J9" s="48"/>
      <c r="K9" s="48" t="str">
        <f ca="1">IF(I9="","",_xlfn.FORMULATEXT(I9))</f>
        <v>=VAR.S(F6:F109)</v>
      </c>
      <c r="L9" s="48"/>
    </row>
    <row r="10" spans="1:28" x14ac:dyDescent="0.2">
      <c r="A10" s="47"/>
      <c r="B10" s="50">
        <v>44018</v>
      </c>
      <c r="C10" s="51">
        <v>239.41909799999999</v>
      </c>
      <c r="D10" s="51">
        <v>3185.04</v>
      </c>
      <c r="E10" s="52">
        <f t="shared" si="0"/>
        <v>6.4788864761946207E-3</v>
      </c>
      <c r="F10" s="52">
        <f t="shared" si="1"/>
        <v>1.7581413477912127E-2</v>
      </c>
      <c r="G10" s="48"/>
      <c r="H10" s="75" t="s">
        <v>103</v>
      </c>
      <c r="I10" s="55">
        <f>I8/I9</f>
        <v>0.90637974362125695</v>
      </c>
      <c r="J10" s="48"/>
      <c r="K10" s="48" t="str">
        <f ca="1">IF(I10="","",_xlfn.FORMULATEXT(I10))</f>
        <v>=I8/I9</v>
      </c>
      <c r="L10" s="48"/>
    </row>
    <row r="11" spans="1:28" x14ac:dyDescent="0.2">
      <c r="A11" s="47"/>
      <c r="B11" s="50">
        <v>44025</v>
      </c>
      <c r="C11" s="51">
        <v>249.250092</v>
      </c>
      <c r="D11" s="51">
        <v>3224.73</v>
      </c>
      <c r="E11" s="52">
        <f t="shared" si="0"/>
        <v>4.1061862157713104E-2</v>
      </c>
      <c r="F11" s="52">
        <f t="shared" si="1"/>
        <v>1.2461381960666131E-2</v>
      </c>
      <c r="G11" s="48"/>
      <c r="J11" s="48"/>
      <c r="K11" s="48"/>
      <c r="L11" s="48"/>
    </row>
    <row r="12" spans="1:28" x14ac:dyDescent="0.2">
      <c r="A12" s="47"/>
      <c r="B12" s="50">
        <v>44032</v>
      </c>
      <c r="C12" s="51">
        <v>253.96940599999999</v>
      </c>
      <c r="D12" s="51">
        <v>3215.63</v>
      </c>
      <c r="E12" s="52">
        <f t="shared" si="0"/>
        <v>1.8934051185826632E-2</v>
      </c>
      <c r="F12" s="52">
        <f t="shared" si="1"/>
        <v>-2.8219416819392348E-3</v>
      </c>
      <c r="G12" s="48"/>
    </row>
    <row r="13" spans="1:28" x14ac:dyDescent="0.2">
      <c r="A13" s="47"/>
      <c r="B13" s="50">
        <v>44039</v>
      </c>
      <c r="C13" s="51">
        <v>254.14164700000001</v>
      </c>
      <c r="D13" s="51">
        <v>3271.12</v>
      </c>
      <c r="E13" s="52">
        <f t="shared" si="0"/>
        <v>6.781958611188541E-4</v>
      </c>
      <c r="F13" s="52">
        <f t="shared" si="1"/>
        <v>1.7256338571290782E-2</v>
      </c>
      <c r="G13" s="48"/>
    </row>
    <row r="14" spans="1:28" x14ac:dyDescent="0.2">
      <c r="A14" s="47"/>
      <c r="B14" s="50">
        <v>44046</v>
      </c>
      <c r="C14" s="51">
        <v>260.02880900000002</v>
      </c>
      <c r="D14" s="51">
        <v>3351.28</v>
      </c>
      <c r="E14" s="52">
        <f t="shared" si="0"/>
        <v>2.3164884895862888E-2</v>
      </c>
      <c r="F14" s="52">
        <f t="shared" si="1"/>
        <v>2.4505368191934357E-2</v>
      </c>
      <c r="G14" s="48"/>
      <c r="X14" s="48" t="s">
        <v>100</v>
      </c>
      <c r="Y14" s="53"/>
      <c r="Z14" s="56"/>
      <c r="AA14" s="48"/>
      <c r="AB14" s="48"/>
    </row>
    <row r="15" spans="1:28" x14ac:dyDescent="0.2">
      <c r="A15" s="47"/>
      <c r="B15" s="50">
        <v>44053</v>
      </c>
      <c r="C15" s="51">
        <v>268.55792200000002</v>
      </c>
      <c r="D15" s="51">
        <v>3372.85</v>
      </c>
      <c r="E15" s="52">
        <f t="shared" si="0"/>
        <v>3.2800646331460889E-2</v>
      </c>
      <c r="F15" s="52">
        <f t="shared" si="1"/>
        <v>6.4363467093169497E-3</v>
      </c>
      <c r="G15" s="48"/>
      <c r="K15" s="48"/>
      <c r="L15" s="48"/>
      <c r="X15" s="53"/>
      <c r="Y15" s="53"/>
      <c r="Z15" s="53"/>
      <c r="AA15" s="48"/>
      <c r="AB15" s="48"/>
    </row>
    <row r="16" spans="1:28" x14ac:dyDescent="0.2">
      <c r="A16" s="47"/>
      <c r="B16" s="50">
        <v>44060</v>
      </c>
      <c r="C16" s="51">
        <v>271.12341300000003</v>
      </c>
      <c r="D16" s="51">
        <v>3397.16</v>
      </c>
      <c r="E16" s="52">
        <f t="shared" si="0"/>
        <v>9.5528405227979403E-3</v>
      </c>
      <c r="F16" s="52">
        <f t="shared" si="1"/>
        <v>7.2075544420890187E-3</v>
      </c>
      <c r="G16" s="48"/>
      <c r="J16" s="53"/>
      <c r="K16" s="48"/>
      <c r="L16" s="48"/>
      <c r="X16" s="75" t="s">
        <v>103</v>
      </c>
      <c r="Y16" s="55">
        <f>SLOPE(E6:E109,F6:F109)</f>
        <v>0.90637974362125728</v>
      </c>
      <c r="Z16" s="53"/>
      <c r="AA16" s="48" t="str">
        <f ca="1">_xlfn.FORMULATEXT(Y16)</f>
        <v>=SLOPE(E6:E109,F6:F109)</v>
      </c>
      <c r="AB16" s="48"/>
    </row>
    <row r="17" spans="1:12" x14ac:dyDescent="0.2">
      <c r="A17" s="47"/>
      <c r="B17" s="50">
        <v>44067</v>
      </c>
      <c r="C17" s="51">
        <v>274.05261200000001</v>
      </c>
      <c r="D17" s="51">
        <v>3508.01</v>
      </c>
      <c r="E17" s="52">
        <f t="shared" si="0"/>
        <v>1.080393230369958E-2</v>
      </c>
      <c r="F17" s="52">
        <f t="shared" si="1"/>
        <v>3.2630196988072499E-2</v>
      </c>
      <c r="G17" s="48"/>
      <c r="J17" s="53"/>
      <c r="K17" s="48"/>
      <c r="L17" s="48"/>
    </row>
    <row r="18" spans="1:12" x14ac:dyDescent="0.2">
      <c r="A18" s="47"/>
      <c r="B18" s="50">
        <v>44074</v>
      </c>
      <c r="C18" s="51">
        <v>258.13348400000001</v>
      </c>
      <c r="D18" s="51">
        <v>3426.96</v>
      </c>
      <c r="E18" s="52">
        <f t="shared" si="0"/>
        <v>-5.8087853583384204E-2</v>
      </c>
      <c r="F18" s="52">
        <f t="shared" si="1"/>
        <v>-2.310426709159899E-2</v>
      </c>
      <c r="G18" s="48"/>
      <c r="J18" s="53"/>
      <c r="K18" s="48"/>
      <c r="L18" s="48"/>
    </row>
    <row r="19" spans="1:12" x14ac:dyDescent="0.2">
      <c r="A19" s="47"/>
      <c r="B19" s="50">
        <v>44081</v>
      </c>
      <c r="C19" s="51">
        <v>265.91326900000001</v>
      </c>
      <c r="D19" s="51">
        <v>3340.97</v>
      </c>
      <c r="E19" s="52">
        <f t="shared" si="0"/>
        <v>3.0138612315789313E-2</v>
      </c>
      <c r="F19" s="52">
        <f t="shared" si="1"/>
        <v>-2.5092210005369257E-2</v>
      </c>
      <c r="G19" s="48"/>
      <c r="H19" s="57"/>
      <c r="I19" s="58"/>
      <c r="J19" s="57"/>
      <c r="K19" s="48"/>
      <c r="L19" s="48"/>
    </row>
    <row r="20" spans="1:12" x14ac:dyDescent="0.2">
      <c r="A20" s="47"/>
      <c r="B20" s="50">
        <v>44088</v>
      </c>
      <c r="C20" s="51">
        <v>264.81625400000001</v>
      </c>
      <c r="D20" s="51">
        <v>3319.47</v>
      </c>
      <c r="E20" s="52">
        <f t="shared" si="0"/>
        <v>-4.1254616744980819E-3</v>
      </c>
      <c r="F20" s="52">
        <f t="shared" si="1"/>
        <v>-6.4352568266102363E-3</v>
      </c>
      <c r="G20" s="48"/>
      <c r="H20" s="48"/>
      <c r="I20" s="48"/>
      <c r="J20" s="48"/>
      <c r="K20" s="48"/>
      <c r="L20" s="48"/>
    </row>
    <row r="21" spans="1:12" x14ac:dyDescent="0.2">
      <c r="A21" s="47"/>
      <c r="B21" s="50">
        <v>44095</v>
      </c>
      <c r="C21" s="51">
        <v>258.42654399999998</v>
      </c>
      <c r="D21" s="51">
        <v>3298.46</v>
      </c>
      <c r="E21" s="52">
        <f t="shared" si="0"/>
        <v>-2.4128843692502486E-2</v>
      </c>
      <c r="F21" s="52">
        <f t="shared" si="1"/>
        <v>-6.3293236570897658E-3</v>
      </c>
      <c r="G21" s="48"/>
      <c r="I21" s="48"/>
      <c r="J21" s="48"/>
      <c r="K21" s="48"/>
      <c r="L21" s="48"/>
    </row>
    <row r="22" spans="1:12" x14ac:dyDescent="0.2">
      <c r="A22" s="47"/>
      <c r="B22" s="50">
        <v>44102</v>
      </c>
      <c r="C22" s="51">
        <v>268.780914</v>
      </c>
      <c r="D22" s="51">
        <v>3348.42</v>
      </c>
      <c r="E22" s="52">
        <f t="shared" si="0"/>
        <v>4.0066975472922074E-2</v>
      </c>
      <c r="F22" s="52">
        <f t="shared" si="1"/>
        <v>1.51464622884619E-2</v>
      </c>
      <c r="G22" s="48"/>
      <c r="I22" s="48"/>
      <c r="J22" s="48"/>
      <c r="K22" s="48"/>
      <c r="L22" s="48"/>
    </row>
    <row r="23" spans="1:12" x14ac:dyDescent="0.2">
      <c r="A23" s="47"/>
      <c r="B23" s="50">
        <v>44109</v>
      </c>
      <c r="C23" s="51">
        <v>275.14181500000001</v>
      </c>
      <c r="D23" s="51">
        <v>3477.14</v>
      </c>
      <c r="E23" s="52">
        <f t="shared" si="0"/>
        <v>2.3665746593896964E-2</v>
      </c>
      <c r="F23" s="52">
        <f t="shared" si="1"/>
        <v>3.8442011456149408E-2</v>
      </c>
      <c r="G23" s="48"/>
      <c r="H23" s="48"/>
      <c r="I23" s="48"/>
      <c r="J23" s="48"/>
      <c r="K23" s="48"/>
      <c r="L23" s="48"/>
    </row>
    <row r="24" spans="1:12" x14ac:dyDescent="0.2">
      <c r="A24" s="47"/>
      <c r="B24" s="50">
        <v>44116</v>
      </c>
      <c r="C24" s="51">
        <v>276.816193</v>
      </c>
      <c r="D24" s="51">
        <v>3483.81</v>
      </c>
      <c r="E24" s="52">
        <f t="shared" si="0"/>
        <v>6.0855090310427372E-3</v>
      </c>
      <c r="F24" s="52">
        <f t="shared" si="1"/>
        <v>1.9182431538563513E-3</v>
      </c>
      <c r="G24" s="48"/>
      <c r="H24" s="48"/>
      <c r="I24" s="48"/>
      <c r="J24" s="48"/>
      <c r="K24" s="48"/>
      <c r="L24" s="48"/>
    </row>
    <row r="25" spans="1:12" x14ac:dyDescent="0.2">
      <c r="A25" s="47"/>
      <c r="B25" s="50">
        <v>44123</v>
      </c>
      <c r="C25" s="51">
        <v>272.33184799999998</v>
      </c>
      <c r="D25" s="51">
        <v>3465.39</v>
      </c>
      <c r="E25" s="52">
        <f t="shared" si="0"/>
        <v>-1.6199720657237775E-2</v>
      </c>
      <c r="F25" s="52">
        <f t="shared" si="1"/>
        <v>-5.2873147502303722E-3</v>
      </c>
      <c r="G25" s="48"/>
      <c r="H25" s="59"/>
      <c r="I25" s="53"/>
      <c r="J25" s="53"/>
      <c r="K25" s="48"/>
      <c r="L25" s="48"/>
    </row>
    <row r="26" spans="1:12" x14ac:dyDescent="0.2">
      <c r="A26" s="47"/>
      <c r="B26" s="50">
        <v>44130</v>
      </c>
      <c r="C26" s="51">
        <v>256.65594499999997</v>
      </c>
      <c r="D26" s="51">
        <v>3269.96</v>
      </c>
      <c r="E26" s="52">
        <f t="shared" si="0"/>
        <v>-5.7561769272024353E-2</v>
      </c>
      <c r="F26" s="52">
        <f t="shared" si="1"/>
        <v>-5.639480693370727E-2</v>
      </c>
      <c r="G26" s="48"/>
      <c r="H26" s="57"/>
      <c r="I26" s="60"/>
      <c r="J26" s="60"/>
      <c r="K26" s="48"/>
      <c r="L26" s="48"/>
    </row>
    <row r="27" spans="1:12" x14ac:dyDescent="0.2">
      <c r="A27" s="47"/>
      <c r="B27" s="50">
        <v>44137</v>
      </c>
      <c r="C27" s="51">
        <v>273.52508499999999</v>
      </c>
      <c r="D27" s="51">
        <v>3509.44</v>
      </c>
      <c r="E27" s="52">
        <f t="shared" si="0"/>
        <v>6.572666766008485E-2</v>
      </c>
      <c r="F27" s="52">
        <f t="shared" si="1"/>
        <v>7.3236369863851555E-2</v>
      </c>
      <c r="G27" s="48"/>
      <c r="K27" s="48"/>
      <c r="L27" s="48"/>
    </row>
    <row r="28" spans="1:12" x14ac:dyDescent="0.2">
      <c r="A28" s="47"/>
      <c r="B28" s="50">
        <v>44144</v>
      </c>
      <c r="C28" s="51">
        <v>266.72161899999998</v>
      </c>
      <c r="D28" s="51">
        <v>3585.15</v>
      </c>
      <c r="E28" s="52">
        <f t="shared" si="0"/>
        <v>-2.48732799041083E-2</v>
      </c>
      <c r="F28" s="52">
        <f t="shared" si="1"/>
        <v>2.1573242454636647E-2</v>
      </c>
      <c r="G28" s="48"/>
      <c r="K28" s="48"/>
      <c r="L28" s="48"/>
    </row>
    <row r="29" spans="1:12" x14ac:dyDescent="0.2">
      <c r="A29" s="47"/>
      <c r="B29" s="50">
        <v>44151</v>
      </c>
      <c r="C29" s="51">
        <v>259.63906900000001</v>
      </c>
      <c r="D29" s="51">
        <v>3557.54</v>
      </c>
      <c r="E29" s="52">
        <f t="shared" si="0"/>
        <v>-2.6554090465385073E-2</v>
      </c>
      <c r="F29" s="52">
        <f t="shared" si="1"/>
        <v>-7.7012119437122927E-3</v>
      </c>
      <c r="G29" s="48"/>
      <c r="H29" s="57"/>
      <c r="I29" s="57"/>
      <c r="J29" s="57"/>
      <c r="K29" s="48"/>
      <c r="L29" s="48"/>
    </row>
    <row r="30" spans="1:12" x14ac:dyDescent="0.2">
      <c r="A30" s="47"/>
      <c r="B30" s="50">
        <v>44158</v>
      </c>
      <c r="C30" s="51">
        <v>265.58612099999999</v>
      </c>
      <c r="D30" s="51">
        <v>3638.35</v>
      </c>
      <c r="E30" s="52">
        <f t="shared" si="0"/>
        <v>2.2905073658232786E-2</v>
      </c>
      <c r="F30" s="52">
        <f t="shared" si="1"/>
        <v>2.2715134615492714E-2</v>
      </c>
      <c r="G30" s="48"/>
      <c r="H30" s="57"/>
      <c r="I30" s="57"/>
      <c r="J30" s="57"/>
      <c r="K30" s="48"/>
      <c r="L30" s="48"/>
    </row>
    <row r="31" spans="1:12" x14ac:dyDescent="0.2">
      <c r="A31" s="47"/>
      <c r="B31" s="50">
        <v>44165</v>
      </c>
      <c r="C31" s="51">
        <v>254.038467</v>
      </c>
      <c r="D31" s="51">
        <v>3699.12</v>
      </c>
      <c r="E31" s="52">
        <f t="shared" si="0"/>
        <v>-4.3479885004984863E-2</v>
      </c>
      <c r="F31" s="52">
        <f t="shared" si="1"/>
        <v>1.6702626190443465E-2</v>
      </c>
      <c r="G31" s="48"/>
      <c r="H31" s="48"/>
      <c r="I31" s="48"/>
      <c r="J31" s="48"/>
      <c r="K31" s="48"/>
      <c r="L31" s="48"/>
    </row>
    <row r="32" spans="1:12" x14ac:dyDescent="0.2">
      <c r="A32" s="47"/>
      <c r="B32" s="50">
        <v>44172</v>
      </c>
      <c r="C32" s="51">
        <v>255.96545399999999</v>
      </c>
      <c r="D32" s="51">
        <v>3663.46</v>
      </c>
      <c r="E32" s="52">
        <f t="shared" si="0"/>
        <v>7.5854142199653449E-3</v>
      </c>
      <c r="F32" s="52">
        <f t="shared" si="1"/>
        <v>-9.6401306256622809E-3</v>
      </c>
      <c r="G32" s="48"/>
      <c r="H32" s="48"/>
      <c r="I32" s="48"/>
      <c r="J32" s="48"/>
      <c r="K32" s="48"/>
      <c r="L32" s="48"/>
    </row>
    <row r="33" spans="1:12" x14ac:dyDescent="0.2">
      <c r="A33" s="47"/>
      <c r="B33" s="50">
        <v>44179</v>
      </c>
      <c r="C33" s="51">
        <v>261.67394999999999</v>
      </c>
      <c r="D33" s="51">
        <v>3709.41</v>
      </c>
      <c r="E33" s="52">
        <f t="shared" si="0"/>
        <v>2.2301822026342653E-2</v>
      </c>
      <c r="F33" s="52">
        <f t="shared" si="1"/>
        <v>1.2542787419543223E-2</v>
      </c>
      <c r="G33" s="48"/>
      <c r="H33" s="48"/>
      <c r="I33" s="48"/>
      <c r="J33" s="48"/>
      <c r="K33" s="48"/>
      <c r="L33" s="48"/>
    </row>
    <row r="34" spans="1:12" x14ac:dyDescent="0.2">
      <c r="A34" s="47"/>
      <c r="B34" s="50">
        <v>44186</v>
      </c>
      <c r="C34" s="51">
        <v>262.12872299999998</v>
      </c>
      <c r="D34" s="51">
        <v>3703.06</v>
      </c>
      <c r="E34" s="52">
        <f t="shared" si="0"/>
        <v>1.737937612819269E-3</v>
      </c>
      <c r="F34" s="52">
        <f t="shared" si="1"/>
        <v>-1.7118625333947743E-3</v>
      </c>
      <c r="G34" s="48"/>
      <c r="H34" s="48"/>
      <c r="I34" s="48"/>
      <c r="J34" s="48"/>
      <c r="K34" s="48"/>
      <c r="L34" s="48"/>
    </row>
    <row r="35" spans="1:12" x14ac:dyDescent="0.2">
      <c r="A35" s="47"/>
      <c r="B35" s="50">
        <v>44193</v>
      </c>
      <c r="C35" s="51">
        <v>257.00073200000003</v>
      </c>
      <c r="D35" s="51">
        <v>3756.07</v>
      </c>
      <c r="E35" s="52">
        <f t="shared" si="0"/>
        <v>-1.9562873313963201E-2</v>
      </c>
      <c r="F35" s="52">
        <f t="shared" si="1"/>
        <v>1.4315187979670926E-2</v>
      </c>
      <c r="G35" s="48"/>
      <c r="H35" s="48"/>
      <c r="I35" s="48"/>
      <c r="J35" s="48"/>
      <c r="K35" s="48"/>
      <c r="L35" s="48"/>
    </row>
    <row r="36" spans="1:12" x14ac:dyDescent="0.2">
      <c r="A36" s="47"/>
      <c r="B36" s="50">
        <v>44200</v>
      </c>
      <c r="C36" s="51">
        <v>260.35812399999998</v>
      </c>
      <c r="D36" s="51">
        <v>3824.68</v>
      </c>
      <c r="E36" s="52">
        <f t="shared" si="0"/>
        <v>1.3063744892368428E-2</v>
      </c>
      <c r="F36" s="52">
        <f t="shared" si="1"/>
        <v>1.826643273421413E-2</v>
      </c>
      <c r="G36" s="48"/>
      <c r="H36" s="48"/>
      <c r="I36" s="48"/>
      <c r="J36" s="48"/>
      <c r="K36" s="48"/>
      <c r="L36" s="48"/>
    </row>
    <row r="37" spans="1:12" x14ac:dyDescent="0.2">
      <c r="A37" s="47"/>
      <c r="B37" s="50">
        <v>44207</v>
      </c>
      <c r="C37" s="51">
        <v>266.64718599999998</v>
      </c>
      <c r="D37" s="51">
        <v>3768.25</v>
      </c>
      <c r="E37" s="52">
        <f t="shared" si="0"/>
        <v>2.4155428313041623E-2</v>
      </c>
      <c r="F37" s="52">
        <f t="shared" si="1"/>
        <v>-1.4754175512722591E-2</v>
      </c>
      <c r="G37" s="48"/>
      <c r="H37" s="48"/>
      <c r="I37" s="48"/>
      <c r="J37" s="48"/>
      <c r="K37" s="48"/>
      <c r="L37" s="48"/>
    </row>
    <row r="38" spans="1:12" x14ac:dyDescent="0.2">
      <c r="A38" s="47"/>
      <c r="B38" s="50">
        <v>44214</v>
      </c>
      <c r="C38" s="51">
        <v>274.78433200000001</v>
      </c>
      <c r="D38" s="51">
        <v>3841.47</v>
      </c>
      <c r="E38" s="52">
        <f t="shared" si="0"/>
        <v>3.0516526808574796E-2</v>
      </c>
      <c r="F38" s="52">
        <f t="shared" si="1"/>
        <v>1.9430770251442925E-2</v>
      </c>
    </row>
    <row r="39" spans="1:12" x14ac:dyDescent="0.2">
      <c r="A39" s="47"/>
      <c r="B39" s="50">
        <v>44221</v>
      </c>
      <c r="C39" s="51">
        <v>262.03201300000001</v>
      </c>
      <c r="D39" s="51">
        <v>3714.24</v>
      </c>
      <c r="E39" s="52">
        <f t="shared" si="0"/>
        <v>-4.6408464802862197E-2</v>
      </c>
      <c r="F39" s="52">
        <f t="shared" si="1"/>
        <v>-3.312013369881843E-2</v>
      </c>
    </row>
    <row r="40" spans="1:12" x14ac:dyDescent="0.2">
      <c r="A40" s="47"/>
      <c r="B40" s="50">
        <v>44228</v>
      </c>
      <c r="C40" s="51">
        <v>269.81106599999998</v>
      </c>
      <c r="D40" s="51">
        <v>3886.83</v>
      </c>
      <c r="E40" s="52">
        <f t="shared" si="0"/>
        <v>2.9687414567929057E-2</v>
      </c>
      <c r="F40" s="52">
        <f t="shared" si="1"/>
        <v>4.6467110364435293E-2</v>
      </c>
    </row>
    <row r="41" spans="1:12" x14ac:dyDescent="0.2">
      <c r="A41" s="47"/>
      <c r="B41" s="50">
        <v>44235</v>
      </c>
      <c r="C41" s="51">
        <v>268.50491299999999</v>
      </c>
      <c r="D41" s="51">
        <v>3934.83</v>
      </c>
      <c r="E41" s="52">
        <f t="shared" si="0"/>
        <v>-4.8409912142002168E-3</v>
      </c>
      <c r="F41" s="52">
        <f t="shared" si="1"/>
        <v>1.2349395265550591E-2</v>
      </c>
    </row>
    <row r="42" spans="1:12" x14ac:dyDescent="0.2">
      <c r="A42" s="47"/>
      <c r="B42" s="50">
        <v>44242</v>
      </c>
      <c r="C42" s="51">
        <v>270.565765</v>
      </c>
      <c r="D42" s="51">
        <v>3906.71</v>
      </c>
      <c r="E42" s="52">
        <f t="shared" si="0"/>
        <v>7.6752860011913872E-3</v>
      </c>
      <c r="F42" s="52">
        <f t="shared" si="1"/>
        <v>-7.1464332639529261E-3</v>
      </c>
    </row>
    <row r="43" spans="1:12" x14ac:dyDescent="0.2">
      <c r="A43" s="47"/>
      <c r="B43" s="50">
        <v>44249</v>
      </c>
      <c r="C43" s="51">
        <v>249.956985</v>
      </c>
      <c r="D43" s="51">
        <v>3811.15</v>
      </c>
      <c r="E43" s="52">
        <f t="shared" si="0"/>
        <v>-7.6169207881861906E-2</v>
      </c>
      <c r="F43" s="52">
        <f t="shared" si="1"/>
        <v>-2.4460479533930071E-2</v>
      </c>
    </row>
    <row r="44" spans="1:12" x14ac:dyDescent="0.2">
      <c r="A44" s="47"/>
      <c r="B44" s="50">
        <v>44256</v>
      </c>
      <c r="C44" s="51">
        <v>245.29338100000001</v>
      </c>
      <c r="D44" s="51">
        <v>3841.94</v>
      </c>
      <c r="E44" s="52">
        <f t="shared" si="0"/>
        <v>-1.8657626231169303E-2</v>
      </c>
      <c r="F44" s="52">
        <f t="shared" si="1"/>
        <v>8.0789263083321204E-3</v>
      </c>
    </row>
    <row r="45" spans="1:12" x14ac:dyDescent="0.2">
      <c r="A45" s="47"/>
      <c r="B45" s="50">
        <v>44263</v>
      </c>
      <c r="C45" s="51">
        <v>264.23800699999998</v>
      </c>
      <c r="D45" s="51">
        <v>3943.34</v>
      </c>
      <c r="E45" s="52">
        <f t="shared" si="0"/>
        <v>7.7232520187733772E-2</v>
      </c>
      <c r="F45" s="52">
        <f t="shared" si="1"/>
        <v>2.6392916078856018E-2</v>
      </c>
    </row>
    <row r="46" spans="1:12" x14ac:dyDescent="0.2">
      <c r="A46" s="47"/>
      <c r="B46" s="50">
        <v>44270</v>
      </c>
      <c r="C46" s="51">
        <v>281.47161899999998</v>
      </c>
      <c r="D46" s="51">
        <v>3913.1</v>
      </c>
      <c r="E46" s="52">
        <f t="shared" si="0"/>
        <v>6.522003475450068E-2</v>
      </c>
      <c r="F46" s="52">
        <f t="shared" si="1"/>
        <v>-7.6686260885442887E-3</v>
      </c>
    </row>
    <row r="47" spans="1:12" x14ac:dyDescent="0.2">
      <c r="A47" s="47"/>
      <c r="B47" s="50">
        <v>44277</v>
      </c>
      <c r="C47" s="51">
        <v>295.79348800000002</v>
      </c>
      <c r="D47" s="51">
        <v>3974.54</v>
      </c>
      <c r="E47" s="52">
        <f t="shared" si="0"/>
        <v>5.0882106874157181E-2</v>
      </c>
      <c r="F47" s="52">
        <f t="shared" si="1"/>
        <v>1.570110653957222E-2</v>
      </c>
    </row>
    <row r="48" spans="1:12" x14ac:dyDescent="0.2">
      <c r="A48" s="47"/>
      <c r="B48" s="50">
        <v>44284</v>
      </c>
      <c r="C48" s="51">
        <v>299.629547</v>
      </c>
      <c r="D48" s="51">
        <v>4019.87</v>
      </c>
      <c r="E48" s="52">
        <f t="shared" si="0"/>
        <v>1.2968706735017699E-2</v>
      </c>
      <c r="F48" s="52">
        <f t="shared" si="1"/>
        <v>1.1405093419615837E-2</v>
      </c>
    </row>
    <row r="49" spans="1:6" x14ac:dyDescent="0.2">
      <c r="A49" s="47"/>
      <c r="B49" s="50">
        <v>44291</v>
      </c>
      <c r="C49" s="51">
        <v>310.80658</v>
      </c>
      <c r="D49" s="51">
        <v>4128.8</v>
      </c>
      <c r="E49" s="52">
        <f t="shared" si="0"/>
        <v>3.7302839829744812E-2</v>
      </c>
      <c r="F49" s="52">
        <f t="shared" si="1"/>
        <v>2.7097891225338205E-2</v>
      </c>
    </row>
    <row r="50" spans="1:6" x14ac:dyDescent="0.2">
      <c r="A50" s="47"/>
      <c r="B50" s="50">
        <v>44298</v>
      </c>
      <c r="C50" s="51">
        <v>319.42306500000001</v>
      </c>
      <c r="D50" s="51">
        <v>4185.47</v>
      </c>
      <c r="E50" s="52">
        <f t="shared" si="0"/>
        <v>2.7722981283086128E-2</v>
      </c>
      <c r="F50" s="52">
        <f t="shared" si="1"/>
        <v>1.3725537686494883E-2</v>
      </c>
    </row>
    <row r="51" spans="1:6" x14ac:dyDescent="0.2">
      <c r="A51" s="47"/>
      <c r="B51" s="50">
        <v>44305</v>
      </c>
      <c r="C51" s="51">
        <v>315.343658</v>
      </c>
      <c r="D51" s="51">
        <v>4180.17</v>
      </c>
      <c r="E51" s="52">
        <f t="shared" si="0"/>
        <v>-1.2771172300910716E-2</v>
      </c>
      <c r="F51" s="52">
        <f t="shared" si="1"/>
        <v>-1.2662855067651141E-3</v>
      </c>
    </row>
    <row r="52" spans="1:6" x14ac:dyDescent="0.2">
      <c r="A52" s="47"/>
      <c r="B52" s="50">
        <v>44312</v>
      </c>
      <c r="C52" s="51">
        <v>315.12948599999999</v>
      </c>
      <c r="D52" s="51">
        <v>4181.17</v>
      </c>
      <c r="E52" s="52">
        <f t="shared" si="0"/>
        <v>-6.7917015156848063E-4</v>
      </c>
      <c r="F52" s="52">
        <f t="shared" si="1"/>
        <v>2.3922472052572024E-4</v>
      </c>
    </row>
    <row r="53" spans="1:6" x14ac:dyDescent="0.2">
      <c r="A53" s="47"/>
      <c r="B53" s="50">
        <v>44319</v>
      </c>
      <c r="C53" s="51">
        <v>330.29834</v>
      </c>
      <c r="D53" s="51">
        <v>4232.6000000000004</v>
      </c>
      <c r="E53" s="52">
        <f t="shared" si="0"/>
        <v>4.8135305244016456E-2</v>
      </c>
      <c r="F53" s="52">
        <f t="shared" si="1"/>
        <v>1.2300384820516815E-2</v>
      </c>
    </row>
    <row r="54" spans="1:6" x14ac:dyDescent="0.2">
      <c r="A54" s="47"/>
      <c r="B54" s="50">
        <v>44326</v>
      </c>
      <c r="C54" s="51">
        <v>315.09051499999998</v>
      </c>
      <c r="D54" s="51">
        <v>4173.8500000000004</v>
      </c>
      <c r="E54" s="52">
        <f t="shared" si="0"/>
        <v>-4.6042692797063446E-2</v>
      </c>
      <c r="F54" s="52">
        <f t="shared" si="1"/>
        <v>-1.3880357227236214E-2</v>
      </c>
    </row>
    <row r="55" spans="1:6" x14ac:dyDescent="0.2">
      <c r="A55" s="47"/>
      <c r="B55" s="50">
        <v>44333</v>
      </c>
      <c r="C55" s="51">
        <v>307.437927</v>
      </c>
      <c r="D55" s="51">
        <v>4155.8599999999997</v>
      </c>
      <c r="E55" s="52">
        <f t="shared" si="0"/>
        <v>-2.4286951322542924E-2</v>
      </c>
      <c r="F55" s="52">
        <f t="shared" si="1"/>
        <v>-4.3101692681818205E-3</v>
      </c>
    </row>
    <row r="56" spans="1:6" x14ac:dyDescent="0.2">
      <c r="A56" s="47"/>
      <c r="B56" s="50">
        <v>44340</v>
      </c>
      <c r="C56" s="51">
        <v>310.49505599999998</v>
      </c>
      <c r="D56" s="51">
        <v>4204.1099999999997</v>
      </c>
      <c r="E56" s="52">
        <f t="shared" si="0"/>
        <v>9.9438902344666635E-3</v>
      </c>
      <c r="F56" s="52">
        <f t="shared" si="1"/>
        <v>1.1610111986448053E-2</v>
      </c>
    </row>
    <row r="57" spans="1:6" x14ac:dyDescent="0.2">
      <c r="A57" s="47"/>
      <c r="B57" s="50">
        <v>44347</v>
      </c>
      <c r="C57" s="51">
        <v>302.80352800000003</v>
      </c>
      <c r="D57" s="51">
        <v>4229.8900000000003</v>
      </c>
      <c r="E57" s="52">
        <f t="shared" si="0"/>
        <v>-2.4771821165487252E-2</v>
      </c>
      <c r="F57" s="52">
        <f t="shared" si="1"/>
        <v>6.1320945455757957E-3</v>
      </c>
    </row>
    <row r="58" spans="1:6" x14ac:dyDescent="0.2">
      <c r="A58" s="47"/>
      <c r="B58" s="50">
        <v>44354</v>
      </c>
      <c r="C58" s="51">
        <v>304.15640300000001</v>
      </c>
      <c r="D58" s="51">
        <v>4247.4399999999996</v>
      </c>
      <c r="E58" s="52">
        <f t="shared" si="0"/>
        <v>4.4678310353107346E-3</v>
      </c>
      <c r="F58" s="52">
        <f t="shared" si="1"/>
        <v>4.149044064975513E-3</v>
      </c>
    </row>
    <row r="59" spans="1:6" x14ac:dyDescent="0.2">
      <c r="A59" s="47"/>
      <c r="B59" s="50">
        <v>44361</v>
      </c>
      <c r="C59" s="51">
        <v>296.170074</v>
      </c>
      <c r="D59" s="51">
        <v>4166.45</v>
      </c>
      <c r="E59" s="52">
        <f t="shared" si="0"/>
        <v>-2.6257310124751874E-2</v>
      </c>
      <c r="F59" s="52">
        <f t="shared" si="1"/>
        <v>-1.9067956227751256E-2</v>
      </c>
    </row>
    <row r="60" spans="1:6" x14ac:dyDescent="0.2">
      <c r="A60" s="47"/>
      <c r="B60" s="50">
        <v>44368</v>
      </c>
      <c r="C60" s="51">
        <v>306.95559700000001</v>
      </c>
      <c r="D60" s="51">
        <v>4280.7</v>
      </c>
      <c r="E60" s="52">
        <f t="shared" si="0"/>
        <v>3.6416653628549969E-2</v>
      </c>
      <c r="F60" s="52">
        <f t="shared" si="1"/>
        <v>2.7421425914147538E-2</v>
      </c>
    </row>
    <row r="61" spans="1:6" x14ac:dyDescent="0.2">
      <c r="A61" s="47"/>
      <c r="B61" s="50">
        <v>44375</v>
      </c>
      <c r="C61" s="51">
        <v>315.83261099999999</v>
      </c>
      <c r="D61" s="51">
        <v>4352.34</v>
      </c>
      <c r="E61" s="52">
        <f t="shared" si="0"/>
        <v>2.8919537831395118E-2</v>
      </c>
      <c r="F61" s="52">
        <f t="shared" si="1"/>
        <v>1.6735580629336402E-2</v>
      </c>
    </row>
    <row r="62" spans="1:6" x14ac:dyDescent="0.2">
      <c r="A62" s="47"/>
      <c r="B62" s="50">
        <v>44382</v>
      </c>
      <c r="C62" s="51">
        <v>315.23556500000001</v>
      </c>
      <c r="D62" s="51">
        <v>4369.55</v>
      </c>
      <c r="E62" s="52">
        <f t="shared" si="0"/>
        <v>-1.890387436907133E-3</v>
      </c>
      <c r="F62" s="52">
        <f t="shared" si="1"/>
        <v>3.9541947550053615E-3</v>
      </c>
    </row>
    <row r="63" spans="1:6" x14ac:dyDescent="0.2">
      <c r="A63" s="47"/>
      <c r="B63" s="50">
        <v>44389</v>
      </c>
      <c r="C63" s="51">
        <v>314.69726600000001</v>
      </c>
      <c r="D63" s="51">
        <v>4327.16</v>
      </c>
      <c r="E63" s="52">
        <f t="shared" si="0"/>
        <v>-1.7076087211162071E-3</v>
      </c>
      <c r="F63" s="52">
        <f t="shared" si="1"/>
        <v>-9.7012278152213208E-3</v>
      </c>
    </row>
    <row r="64" spans="1:6" x14ac:dyDescent="0.2">
      <c r="A64" s="47"/>
      <c r="B64" s="50">
        <v>44396</v>
      </c>
      <c r="C64" s="51">
        <v>325.75674400000003</v>
      </c>
      <c r="D64" s="51">
        <v>4411.79</v>
      </c>
      <c r="E64" s="52">
        <f t="shared" si="0"/>
        <v>3.5143228730814623E-2</v>
      </c>
      <c r="F64" s="52">
        <f t="shared" si="1"/>
        <v>1.955786243171043E-2</v>
      </c>
    </row>
    <row r="65" spans="1:6" x14ac:dyDescent="0.2">
      <c r="A65" s="47"/>
      <c r="B65" s="50">
        <v>44403</v>
      </c>
      <c r="C65" s="51">
        <v>321.20575000000002</v>
      </c>
      <c r="D65" s="51">
        <v>4395.26</v>
      </c>
      <c r="E65" s="52">
        <f t="shared" si="0"/>
        <v>-1.3970528880286213E-2</v>
      </c>
      <c r="F65" s="52">
        <f t="shared" si="1"/>
        <v>-3.7467785184697698E-3</v>
      </c>
    </row>
    <row r="66" spans="1:6" x14ac:dyDescent="0.2">
      <c r="A66" s="47"/>
      <c r="B66" s="50">
        <v>44410</v>
      </c>
      <c r="C66" s="51">
        <v>322.82061800000002</v>
      </c>
      <c r="D66" s="51">
        <v>4436.5200000000004</v>
      </c>
      <c r="E66" s="52">
        <f t="shared" si="0"/>
        <v>5.0275189656474118E-3</v>
      </c>
      <c r="F66" s="52">
        <f t="shared" si="1"/>
        <v>9.3873855016541035E-3</v>
      </c>
    </row>
    <row r="67" spans="1:6" x14ac:dyDescent="0.2">
      <c r="A67" s="47"/>
      <c r="B67" s="50">
        <v>44417</v>
      </c>
      <c r="C67" s="51">
        <v>324.26910400000003</v>
      </c>
      <c r="D67" s="51">
        <v>4468</v>
      </c>
      <c r="E67" s="52">
        <f t="shared" si="0"/>
        <v>4.4869686731099758E-3</v>
      </c>
      <c r="F67" s="52">
        <f t="shared" si="1"/>
        <v>7.0956515467076806E-3</v>
      </c>
    </row>
    <row r="68" spans="1:6" x14ac:dyDescent="0.2">
      <c r="A68" s="47"/>
      <c r="B68" s="50">
        <v>44424</v>
      </c>
      <c r="C68" s="51">
        <v>322.23339800000002</v>
      </c>
      <c r="D68" s="51">
        <v>4441.67</v>
      </c>
      <c r="E68" s="52">
        <f t="shared" si="0"/>
        <v>-6.2778290465810285E-3</v>
      </c>
      <c r="F68" s="52">
        <f t="shared" si="1"/>
        <v>-5.8930170098477905E-3</v>
      </c>
    </row>
    <row r="69" spans="1:6" x14ac:dyDescent="0.2">
      <c r="A69" s="47"/>
      <c r="B69" s="50">
        <v>44431</v>
      </c>
      <c r="C69" s="51">
        <v>316.49807700000002</v>
      </c>
      <c r="D69" s="51">
        <v>4509.37</v>
      </c>
      <c r="E69" s="52">
        <f t="shared" si="0"/>
        <v>-1.7798654750244104E-2</v>
      </c>
      <c r="F69" s="52">
        <f t="shared" si="1"/>
        <v>1.5242014827756186E-2</v>
      </c>
    </row>
    <row r="70" spans="1:6" x14ac:dyDescent="0.2">
      <c r="A70" s="47"/>
      <c r="B70" s="50">
        <v>44438</v>
      </c>
      <c r="C70" s="51">
        <v>323.30999800000001</v>
      </c>
      <c r="D70" s="51">
        <v>4535.43</v>
      </c>
      <c r="E70" s="52">
        <f t="shared" si="0"/>
        <v>2.1522787956781118E-2</v>
      </c>
      <c r="F70" s="52">
        <f t="shared" si="1"/>
        <v>5.7790777869193262E-3</v>
      </c>
    </row>
    <row r="71" spans="1:6" x14ac:dyDescent="0.2">
      <c r="A71" s="47"/>
      <c r="B71" s="50">
        <v>44445</v>
      </c>
      <c r="C71" s="51">
        <v>326.53753699999999</v>
      </c>
      <c r="D71" s="51">
        <v>4458.58</v>
      </c>
      <c r="E71" s="52">
        <f t="shared" ref="E71:E109" si="2">(C71-C70)/C70</f>
        <v>9.9827998514292124E-3</v>
      </c>
      <c r="F71" s="52">
        <f t="shared" ref="F71:F109" si="3">(D71-D70)/D70</f>
        <v>-1.6944369111638886E-2</v>
      </c>
    </row>
    <row r="72" spans="1:6" x14ac:dyDescent="0.2">
      <c r="A72" s="47"/>
      <c r="B72" s="50">
        <v>44452</v>
      </c>
      <c r="C72" s="51">
        <v>330.19686899999999</v>
      </c>
      <c r="D72" s="51">
        <v>4432.99</v>
      </c>
      <c r="E72" s="52">
        <f t="shared" si="2"/>
        <v>1.1206466593762562E-2</v>
      </c>
      <c r="F72" s="52">
        <f t="shared" si="3"/>
        <v>-5.7394955344527059E-3</v>
      </c>
    </row>
    <row r="73" spans="1:6" x14ac:dyDescent="0.2">
      <c r="A73" s="47"/>
      <c r="B73" s="50">
        <v>44459</v>
      </c>
      <c r="C73" s="51">
        <v>331.98715199999998</v>
      </c>
      <c r="D73" s="51">
        <v>4455.4799999999996</v>
      </c>
      <c r="E73" s="52">
        <f t="shared" si="2"/>
        <v>5.4218654629338359E-3</v>
      </c>
      <c r="F73" s="52">
        <f t="shared" si="3"/>
        <v>5.0733252274423766E-3</v>
      </c>
    </row>
    <row r="74" spans="1:6" x14ac:dyDescent="0.2">
      <c r="A74" s="47"/>
      <c r="B74" s="50">
        <v>44466</v>
      </c>
      <c r="C74" s="51">
        <v>324.48156699999998</v>
      </c>
      <c r="D74" s="51">
        <v>4357.04</v>
      </c>
      <c r="E74" s="52">
        <f t="shared" si="2"/>
        <v>-2.2608058639570477E-2</v>
      </c>
      <c r="F74" s="52">
        <f t="shared" si="3"/>
        <v>-2.209414024975976E-2</v>
      </c>
    </row>
    <row r="75" spans="1:6" x14ac:dyDescent="0.2">
      <c r="A75" s="47"/>
      <c r="B75" s="50">
        <v>44473</v>
      </c>
      <c r="C75" s="51">
        <v>328.88855000000001</v>
      </c>
      <c r="D75" s="51">
        <v>4391.34</v>
      </c>
      <c r="E75" s="52">
        <f t="shared" si="2"/>
        <v>1.3581612788500943E-2</v>
      </c>
      <c r="F75" s="52">
        <f t="shared" si="3"/>
        <v>7.8723169858436418E-3</v>
      </c>
    </row>
    <row r="76" spans="1:6" x14ac:dyDescent="0.2">
      <c r="A76" s="47"/>
      <c r="B76" s="50">
        <v>44480</v>
      </c>
      <c r="C76" s="51">
        <v>344.69653299999999</v>
      </c>
      <c r="D76" s="51">
        <v>4471.37</v>
      </c>
      <c r="E76" s="52">
        <f t="shared" si="2"/>
        <v>4.8064862701969947E-2</v>
      </c>
      <c r="F76" s="52">
        <f t="shared" si="3"/>
        <v>1.8224505504014662E-2</v>
      </c>
    </row>
    <row r="77" spans="1:6" x14ac:dyDescent="0.2">
      <c r="A77" s="47"/>
      <c r="B77" s="50">
        <v>44487</v>
      </c>
      <c r="C77" s="51">
        <v>360.02246100000002</v>
      </c>
      <c r="D77" s="51">
        <v>4544.8999999999996</v>
      </c>
      <c r="E77" s="52">
        <f t="shared" si="2"/>
        <v>4.4462089208190655E-2</v>
      </c>
      <c r="F77" s="52">
        <f t="shared" si="3"/>
        <v>1.6444624354504268E-2</v>
      </c>
    </row>
    <row r="78" spans="1:6" x14ac:dyDescent="0.2">
      <c r="A78" s="47"/>
      <c r="B78" s="50">
        <v>44494</v>
      </c>
      <c r="C78" s="51">
        <v>365.678741</v>
      </c>
      <c r="D78" s="51">
        <v>4605.38</v>
      </c>
      <c r="E78" s="52">
        <f t="shared" si="2"/>
        <v>1.5710908659112746E-2</v>
      </c>
      <c r="F78" s="52">
        <f t="shared" si="3"/>
        <v>1.330722348126482E-2</v>
      </c>
    </row>
    <row r="79" spans="1:6" x14ac:dyDescent="0.2">
      <c r="A79" s="47"/>
      <c r="B79" s="50">
        <v>44501</v>
      </c>
      <c r="C79" s="51">
        <v>362.39318800000001</v>
      </c>
      <c r="D79" s="51">
        <v>4697.53</v>
      </c>
      <c r="E79" s="52">
        <f t="shared" si="2"/>
        <v>-8.9848072409546859E-3</v>
      </c>
      <c r="F79" s="52">
        <f t="shared" si="3"/>
        <v>2.0009206623557586E-2</v>
      </c>
    </row>
    <row r="80" spans="1:6" x14ac:dyDescent="0.2">
      <c r="A80" s="47"/>
      <c r="B80" s="50">
        <v>44508</v>
      </c>
      <c r="C80" s="51">
        <v>366.55423000000002</v>
      </c>
      <c r="D80" s="51">
        <v>4682.8500000000004</v>
      </c>
      <c r="E80" s="52">
        <f t="shared" si="2"/>
        <v>1.1482119801876654E-2</v>
      </c>
      <c r="F80" s="52">
        <f t="shared" si="3"/>
        <v>-3.1250465670255184E-3</v>
      </c>
    </row>
    <row r="81" spans="1:6" x14ac:dyDescent="0.2">
      <c r="A81" s="47"/>
      <c r="B81" s="50">
        <v>44515</v>
      </c>
      <c r="C81" s="51">
        <v>402.026276</v>
      </c>
      <c r="D81" s="51">
        <v>4697.96</v>
      </c>
      <c r="E81" s="52">
        <f t="shared" si="2"/>
        <v>9.6771618213217656E-2</v>
      </c>
      <c r="F81" s="52">
        <f t="shared" si="3"/>
        <v>3.2266675208472771E-3</v>
      </c>
    </row>
    <row r="82" spans="1:6" x14ac:dyDescent="0.2">
      <c r="A82" s="47"/>
      <c r="B82" s="50">
        <v>44522</v>
      </c>
      <c r="C82" s="51">
        <v>396.13391100000001</v>
      </c>
      <c r="D82" s="51">
        <v>4594.62</v>
      </c>
      <c r="E82" s="52">
        <f t="shared" si="2"/>
        <v>-1.4656666371727365E-2</v>
      </c>
      <c r="F82" s="52">
        <f t="shared" si="3"/>
        <v>-2.1996781581792978E-2</v>
      </c>
    </row>
    <row r="83" spans="1:6" x14ac:dyDescent="0.2">
      <c r="A83" s="47"/>
      <c r="B83" s="50">
        <v>44529</v>
      </c>
      <c r="C83" s="51">
        <v>401.16061400000001</v>
      </c>
      <c r="D83" s="51">
        <v>4538.43</v>
      </c>
      <c r="E83" s="52">
        <f t="shared" si="2"/>
        <v>1.2689403407324039E-2</v>
      </c>
      <c r="F83" s="52">
        <f t="shared" si="3"/>
        <v>-1.2229520613238875E-2</v>
      </c>
    </row>
    <row r="84" spans="1:6" x14ac:dyDescent="0.2">
      <c r="A84" s="47"/>
      <c r="B84" s="50">
        <v>44536</v>
      </c>
      <c r="C84" s="51">
        <v>410.31680299999999</v>
      </c>
      <c r="D84" s="51">
        <v>4712.0200000000004</v>
      </c>
      <c r="E84" s="52">
        <f t="shared" si="2"/>
        <v>2.2824247148051237E-2</v>
      </c>
      <c r="F84" s="52">
        <f t="shared" si="3"/>
        <v>3.8248909865305873E-2</v>
      </c>
    </row>
    <row r="85" spans="1:6" x14ac:dyDescent="0.2">
      <c r="A85" s="47"/>
      <c r="B85" s="50">
        <v>44543</v>
      </c>
      <c r="C85" s="51">
        <v>383.23236100000003</v>
      </c>
      <c r="D85" s="51">
        <v>4620.6400000000003</v>
      </c>
      <c r="E85" s="52">
        <f t="shared" si="2"/>
        <v>-6.6008610424857422E-2</v>
      </c>
      <c r="F85" s="52">
        <f t="shared" si="3"/>
        <v>-1.9392956736176862E-2</v>
      </c>
    </row>
    <row r="86" spans="1:6" x14ac:dyDescent="0.2">
      <c r="A86" s="47"/>
      <c r="B86" s="50">
        <v>44550</v>
      </c>
      <c r="C86" s="51">
        <v>392.21115099999997</v>
      </c>
      <c r="D86" s="51">
        <v>4725.79</v>
      </c>
      <c r="E86" s="52">
        <f t="shared" si="2"/>
        <v>2.3429101802809254E-2</v>
      </c>
      <c r="F86" s="52">
        <f t="shared" si="3"/>
        <v>2.2756587831988563E-2</v>
      </c>
    </row>
    <row r="87" spans="1:6" x14ac:dyDescent="0.2">
      <c r="A87" s="47"/>
      <c r="B87" s="50">
        <v>44557</v>
      </c>
      <c r="C87" s="51">
        <v>409.93164100000001</v>
      </c>
      <c r="D87" s="51">
        <v>4766.18</v>
      </c>
      <c r="E87" s="52">
        <f t="shared" si="2"/>
        <v>4.5180994866716687E-2</v>
      </c>
      <c r="F87" s="52">
        <f t="shared" si="3"/>
        <v>8.5467191728791012E-3</v>
      </c>
    </row>
    <row r="88" spans="1:6" x14ac:dyDescent="0.2">
      <c r="A88" s="47"/>
      <c r="B88" s="50">
        <v>44564</v>
      </c>
      <c r="C88" s="51">
        <v>388.79345699999999</v>
      </c>
      <c r="D88" s="51">
        <v>4677.03</v>
      </c>
      <c r="E88" s="52">
        <f t="shared" si="2"/>
        <v>-5.1565143760152012E-2</v>
      </c>
      <c r="F88" s="52">
        <f t="shared" si="3"/>
        <v>-1.8704706914132604E-2</v>
      </c>
    </row>
    <row r="89" spans="1:6" x14ac:dyDescent="0.2">
      <c r="A89" s="47"/>
      <c r="B89" s="50">
        <v>44571</v>
      </c>
      <c r="C89" s="51">
        <v>367.44793700000002</v>
      </c>
      <c r="D89" s="51">
        <v>4662.8500000000004</v>
      </c>
      <c r="E89" s="52">
        <f t="shared" si="2"/>
        <v>-5.4901952735279612E-2</v>
      </c>
      <c r="F89" s="52">
        <f t="shared" si="3"/>
        <v>-3.0318385813217752E-3</v>
      </c>
    </row>
    <row r="90" spans="1:6" x14ac:dyDescent="0.2">
      <c r="A90" s="47"/>
      <c r="B90" s="50">
        <v>44578</v>
      </c>
      <c r="C90" s="51">
        <v>344.82815599999998</v>
      </c>
      <c r="D90" s="51">
        <v>4397.9399999999996</v>
      </c>
      <c r="E90" s="52">
        <f t="shared" si="2"/>
        <v>-6.1559145452489084E-2</v>
      </c>
      <c r="F90" s="52">
        <f t="shared" si="3"/>
        <v>-5.681289340210402E-2</v>
      </c>
    </row>
    <row r="91" spans="1:6" x14ac:dyDescent="0.2">
      <c r="A91" s="47"/>
      <c r="B91" s="50">
        <v>44585</v>
      </c>
      <c r="C91" s="51">
        <v>362.05471799999998</v>
      </c>
      <c r="D91" s="51">
        <v>4431.8500000000004</v>
      </c>
      <c r="E91" s="52">
        <f t="shared" si="2"/>
        <v>4.9956947251140367E-2</v>
      </c>
      <c r="F91" s="52">
        <f t="shared" si="3"/>
        <v>7.7104280640483422E-3</v>
      </c>
    </row>
    <row r="92" spans="1:6" x14ac:dyDescent="0.2">
      <c r="A92" s="47"/>
      <c r="B92" s="50">
        <v>44592</v>
      </c>
      <c r="C92" s="51">
        <v>355.268799</v>
      </c>
      <c r="D92" s="51">
        <v>4500.53</v>
      </c>
      <c r="E92" s="52">
        <f t="shared" si="2"/>
        <v>-1.874279953451671E-2</v>
      </c>
      <c r="F92" s="52">
        <f t="shared" si="3"/>
        <v>1.5496914381127378E-2</v>
      </c>
    </row>
    <row r="93" spans="1:6" x14ac:dyDescent="0.2">
      <c r="A93" s="47"/>
      <c r="B93" s="50">
        <v>44599</v>
      </c>
      <c r="C93" s="51">
        <v>346.00357100000002</v>
      </c>
      <c r="D93" s="51">
        <v>4418.6400000000003</v>
      </c>
      <c r="E93" s="52">
        <f t="shared" si="2"/>
        <v>-2.6079486929557187E-2</v>
      </c>
      <c r="F93" s="52">
        <f t="shared" si="3"/>
        <v>-1.8195634736353147E-2</v>
      </c>
    </row>
    <row r="94" spans="1:6" x14ac:dyDescent="0.2">
      <c r="A94" s="47"/>
      <c r="B94" s="50">
        <v>44606</v>
      </c>
      <c r="C94" s="51">
        <v>342.62539700000002</v>
      </c>
      <c r="D94" s="51">
        <v>4348.87</v>
      </c>
      <c r="E94" s="52">
        <f t="shared" si="2"/>
        <v>-9.7634079042496387E-3</v>
      </c>
      <c r="F94" s="52">
        <f t="shared" si="3"/>
        <v>-1.5789926312168547E-2</v>
      </c>
    </row>
    <row r="95" spans="1:6" x14ac:dyDescent="0.2">
      <c r="A95" s="47"/>
      <c r="B95" s="50">
        <v>44613</v>
      </c>
      <c r="C95" s="51">
        <v>312.77520800000002</v>
      </c>
      <c r="D95" s="51">
        <v>4384.6499999999996</v>
      </c>
      <c r="E95" s="52">
        <f t="shared" si="2"/>
        <v>-8.7121939183043104E-2</v>
      </c>
      <c r="F95" s="52">
        <f t="shared" si="3"/>
        <v>8.2274245953545978E-3</v>
      </c>
    </row>
    <row r="96" spans="1:6" x14ac:dyDescent="0.2">
      <c r="A96" s="47"/>
      <c r="B96" s="50">
        <v>44620</v>
      </c>
      <c r="C96" s="51">
        <v>320.29211400000003</v>
      </c>
      <c r="D96" s="51">
        <v>4328.87</v>
      </c>
      <c r="E96" s="52">
        <f t="shared" si="2"/>
        <v>2.4032934221564023E-2</v>
      </c>
      <c r="F96" s="52">
        <f t="shared" si="3"/>
        <v>-1.2721653951854709E-2</v>
      </c>
    </row>
    <row r="97" spans="1:6" x14ac:dyDescent="0.2">
      <c r="A97" s="47"/>
      <c r="B97" s="50">
        <v>44627</v>
      </c>
      <c r="C97" s="51">
        <v>312.91351300000002</v>
      </c>
      <c r="D97" s="51">
        <v>4204.3100000000004</v>
      </c>
      <c r="E97" s="52">
        <f t="shared" si="2"/>
        <v>-2.303709856559254E-2</v>
      </c>
      <c r="F97" s="52">
        <f t="shared" si="3"/>
        <v>-2.8774252865066286E-2</v>
      </c>
    </row>
    <row r="98" spans="1:6" x14ac:dyDescent="0.2">
      <c r="A98" s="47"/>
      <c r="B98" s="50">
        <v>44634</v>
      </c>
      <c r="C98" s="51">
        <v>338.601563</v>
      </c>
      <c r="D98" s="51">
        <v>4463.12</v>
      </c>
      <c r="E98" s="52">
        <f t="shared" si="2"/>
        <v>8.2093130954047272E-2</v>
      </c>
      <c r="F98" s="52">
        <f t="shared" si="3"/>
        <v>6.1558258073262789E-2</v>
      </c>
    </row>
    <row r="99" spans="1:6" x14ac:dyDescent="0.2">
      <c r="A99" s="47"/>
      <c r="B99" s="50">
        <v>44641</v>
      </c>
      <c r="C99" s="51">
        <v>308.73022500000002</v>
      </c>
      <c r="D99" s="51">
        <v>4543.0600000000004</v>
      </c>
      <c r="E99" s="52">
        <f t="shared" si="2"/>
        <v>-8.8219728625410929E-2</v>
      </c>
      <c r="F99" s="52">
        <f t="shared" si="3"/>
        <v>1.7911236982200908E-2</v>
      </c>
    </row>
    <row r="100" spans="1:6" x14ac:dyDescent="0.2">
      <c r="A100" s="47"/>
      <c r="B100" s="50">
        <v>44648</v>
      </c>
      <c r="C100" s="51">
        <v>299.99539199999998</v>
      </c>
      <c r="D100" s="51">
        <v>4545.8599999999997</v>
      </c>
      <c r="E100" s="52">
        <f t="shared" si="2"/>
        <v>-2.829276919679645E-2</v>
      </c>
      <c r="F100" s="52">
        <f t="shared" si="3"/>
        <v>6.1632467984118022E-4</v>
      </c>
    </row>
    <row r="101" spans="1:6" x14ac:dyDescent="0.2">
      <c r="A101" s="47"/>
      <c r="B101" s="50">
        <v>44655</v>
      </c>
      <c r="C101" s="51">
        <v>309.15750100000002</v>
      </c>
      <c r="D101" s="51">
        <v>4488.28</v>
      </c>
      <c r="E101" s="52">
        <f t="shared" si="2"/>
        <v>3.0540832440519767E-2</v>
      </c>
      <c r="F101" s="52">
        <f t="shared" si="3"/>
        <v>-1.2666470150862528E-2</v>
      </c>
    </row>
    <row r="102" spans="1:6" x14ac:dyDescent="0.2">
      <c r="A102" s="47"/>
      <c r="B102" s="50">
        <v>44662</v>
      </c>
      <c r="C102" s="51">
        <v>302.60888699999998</v>
      </c>
      <c r="D102" s="51">
        <v>4392.59</v>
      </c>
      <c r="E102" s="52">
        <f t="shared" si="2"/>
        <v>-2.1182128781666025E-2</v>
      </c>
      <c r="F102" s="52">
        <f t="shared" si="3"/>
        <v>-2.1319971124796049E-2</v>
      </c>
    </row>
    <row r="103" spans="1:6" x14ac:dyDescent="0.2">
      <c r="A103" s="47"/>
      <c r="B103" s="50">
        <v>44669</v>
      </c>
      <c r="C103" s="51">
        <v>298.22653200000002</v>
      </c>
      <c r="D103" s="51">
        <v>4271.78</v>
      </c>
      <c r="E103" s="52">
        <f t="shared" si="2"/>
        <v>-1.4481911101308673E-2</v>
      </c>
      <c r="F103" s="52">
        <f t="shared" si="3"/>
        <v>-2.750313596306516E-2</v>
      </c>
    </row>
    <row r="104" spans="1:6" x14ac:dyDescent="0.2">
      <c r="A104" s="47"/>
      <c r="B104" s="50">
        <v>44676</v>
      </c>
      <c r="C104" s="51">
        <v>298.51474000000002</v>
      </c>
      <c r="D104" s="51">
        <v>4131.93</v>
      </c>
      <c r="E104" s="52">
        <f t="shared" si="2"/>
        <v>9.6640630217299827E-4</v>
      </c>
      <c r="F104" s="52">
        <f t="shared" si="3"/>
        <v>-3.2738109172288712E-2</v>
      </c>
    </row>
    <row r="105" spans="1:6" x14ac:dyDescent="0.2">
      <c r="A105" s="47"/>
      <c r="B105" s="50">
        <v>44683</v>
      </c>
      <c r="C105" s="51">
        <v>292.46295199999997</v>
      </c>
      <c r="D105" s="51">
        <v>4123.34</v>
      </c>
      <c r="E105" s="52">
        <f t="shared" si="2"/>
        <v>-2.0272995564641277E-2</v>
      </c>
      <c r="F105" s="52">
        <f t="shared" si="3"/>
        <v>-2.0789316372736579E-3</v>
      </c>
    </row>
    <row r="106" spans="1:6" x14ac:dyDescent="0.2">
      <c r="A106" s="47"/>
      <c r="B106" s="50">
        <v>44690</v>
      </c>
      <c r="C106" s="51">
        <v>294.17214999999999</v>
      </c>
      <c r="D106" s="51">
        <v>4023.89</v>
      </c>
      <c r="E106" s="52">
        <f t="shared" si="2"/>
        <v>5.8441521851287856E-3</v>
      </c>
      <c r="F106" s="52">
        <f t="shared" si="3"/>
        <v>-2.4118796897660701E-2</v>
      </c>
    </row>
    <row r="107" spans="1:6" x14ac:dyDescent="0.2">
      <c r="A107" s="47"/>
      <c r="B107" s="50">
        <v>44697</v>
      </c>
      <c r="C107" s="51">
        <v>285.38763399999999</v>
      </c>
      <c r="D107" s="51">
        <v>3901.36</v>
      </c>
      <c r="E107" s="52">
        <f t="shared" si="2"/>
        <v>-2.986182070600496E-2</v>
      </c>
      <c r="F107" s="52">
        <f t="shared" si="3"/>
        <v>-3.0450633590878417E-2</v>
      </c>
    </row>
    <row r="108" spans="1:6" x14ac:dyDescent="0.2">
      <c r="A108" s="47"/>
      <c r="B108" s="50">
        <v>44704</v>
      </c>
      <c r="C108" s="51">
        <v>306.52413899999999</v>
      </c>
      <c r="D108" s="51">
        <v>4158.24</v>
      </c>
      <c r="E108" s="52">
        <f t="shared" si="2"/>
        <v>7.4062441682389082E-2</v>
      </c>
      <c r="F108" s="52">
        <f t="shared" si="3"/>
        <v>6.5843705784649362E-2</v>
      </c>
    </row>
    <row r="109" spans="1:6" x14ac:dyDescent="0.2">
      <c r="A109" s="47"/>
      <c r="B109" s="50">
        <v>44711</v>
      </c>
      <c r="C109" s="51">
        <v>300.85000600000001</v>
      </c>
      <c r="D109" s="51">
        <v>4132.1499999999996</v>
      </c>
      <c r="E109" s="52">
        <f t="shared" si="2"/>
        <v>-1.8511210955558653E-2</v>
      </c>
      <c r="F109" s="52">
        <f t="shared" si="3"/>
        <v>-6.2742891223210176E-3</v>
      </c>
    </row>
  </sheetData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98073-A2DD-4199-B6D5-87B37AE6166F}">
  <sheetPr>
    <tabColor theme="0" tint="-0.14999847407452621"/>
  </sheetPr>
  <dimension ref="A1:I8"/>
  <sheetViews>
    <sheetView showGridLines="0" zoomScale="140" zoomScaleNormal="140" workbookViewId="0">
      <selection activeCell="I19" sqref="I19"/>
    </sheetView>
  </sheetViews>
  <sheetFormatPr defaultColWidth="8.85546875" defaultRowHeight="12" x14ac:dyDescent="0.2"/>
  <cols>
    <col min="1" max="1" width="1.85546875" style="46" customWidth="1"/>
    <col min="2" max="2" width="21.7109375" style="46" bestFit="1" customWidth="1"/>
    <col min="3" max="3" width="16.7109375" style="46" bestFit="1" customWidth="1"/>
    <col min="4" max="4" width="11.28515625" style="46" bestFit="1" customWidth="1"/>
    <col min="5" max="5" width="15.5703125" style="46" bestFit="1" customWidth="1"/>
    <col min="6" max="6" width="4.85546875" style="47" bestFit="1" customWidth="1"/>
    <col min="7" max="7" width="4.42578125" style="47" bestFit="1" customWidth="1"/>
    <col min="8" max="8" width="14.42578125" style="47" bestFit="1" customWidth="1"/>
    <col min="9" max="9" width="12.42578125" style="47" bestFit="1" customWidth="1"/>
    <col min="10" max="16384" width="8.85546875" style="47"/>
  </cols>
  <sheetData>
    <row r="1" spans="2:9" ht="15.75" x14ac:dyDescent="0.2">
      <c r="B1" s="63" t="s">
        <v>143</v>
      </c>
    </row>
    <row r="4" spans="2:9" ht="36.75" thickBot="1" x14ac:dyDescent="0.25">
      <c r="B4" s="67" t="s">
        <v>136</v>
      </c>
      <c r="C4" s="76" t="s">
        <v>84</v>
      </c>
      <c r="D4" s="76" t="s">
        <v>93</v>
      </c>
      <c r="E4" s="76" t="s">
        <v>85</v>
      </c>
      <c r="F4" s="76" t="s">
        <v>46</v>
      </c>
      <c r="G4" s="76" t="s">
        <v>86</v>
      </c>
      <c r="H4" s="76" t="s">
        <v>87</v>
      </c>
      <c r="I4" s="76" t="s">
        <v>88</v>
      </c>
    </row>
    <row r="5" spans="2:9" x14ac:dyDescent="0.2">
      <c r="B5" s="3" t="s">
        <v>90</v>
      </c>
      <c r="C5" s="125">
        <v>113355</v>
      </c>
      <c r="D5" s="33">
        <f>C5/$C$8</f>
        <v>0.90816956023618578</v>
      </c>
      <c r="E5" s="31">
        <v>33665</v>
      </c>
      <c r="F5" s="3">
        <v>1.24</v>
      </c>
      <c r="G5" s="5">
        <v>0.28000000000000003</v>
      </c>
      <c r="H5" s="40">
        <f>F5/(1+((1-G5)*E5/C5))</f>
        <v>1.0215591109483131</v>
      </c>
      <c r="I5" s="40">
        <f>D5*H5</f>
        <v>0.92774888854519844</v>
      </c>
    </row>
    <row r="6" spans="2:9" x14ac:dyDescent="0.2">
      <c r="B6" s="3" t="s">
        <v>91</v>
      </c>
      <c r="C6" s="125">
        <v>6877</v>
      </c>
      <c r="D6" s="33">
        <f>C6/$C$8</f>
        <v>5.509666151245423E-2</v>
      </c>
      <c r="E6" s="31">
        <v>1459</v>
      </c>
      <c r="F6" s="3">
        <v>1.76</v>
      </c>
      <c r="G6" s="5">
        <v>0.15</v>
      </c>
      <c r="H6" s="40">
        <f>F6/(1+((1-G6)*E6/C6))</f>
        <v>1.4911046364795526</v>
      </c>
      <c r="I6" s="40">
        <f>D6*H6</f>
        <v>8.2154887435765017E-2</v>
      </c>
    </row>
    <row r="7" spans="2:9" x14ac:dyDescent="0.2">
      <c r="B7" s="3" t="s">
        <v>92</v>
      </c>
      <c r="C7" s="125">
        <v>4585</v>
      </c>
      <c r="D7" s="33">
        <f>C7/$C$8</f>
        <v>3.673377825135999E-2</v>
      </c>
      <c r="E7" s="31">
        <v>3935</v>
      </c>
      <c r="F7" s="3">
        <v>2.9</v>
      </c>
      <c r="G7" s="41">
        <v>0.1</v>
      </c>
      <c r="H7" s="42">
        <f>F7/(1+((1-G7)*E7/C7))</f>
        <v>1.6361902418015135</v>
      </c>
      <c r="I7" s="42">
        <f>D7*H7</f>
        <v>6.0103449519375879E-2</v>
      </c>
    </row>
    <row r="8" spans="2:9" x14ac:dyDescent="0.2">
      <c r="B8" s="43" t="s">
        <v>89</v>
      </c>
      <c r="C8" s="44">
        <f>SUM(C5:C7)</f>
        <v>124817</v>
      </c>
      <c r="D8" s="45">
        <f>SUM(D5:D7)</f>
        <v>1</v>
      </c>
      <c r="E8" s="43"/>
      <c r="F8" s="43"/>
      <c r="G8" s="3"/>
      <c r="H8" s="3"/>
      <c r="I8" s="40">
        <f>SUM(I5:I7)</f>
        <v>1.0700072255003394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M37"/>
  <sheetViews>
    <sheetView topLeftCell="A7" zoomScale="120" zoomScaleNormal="120" workbookViewId="0">
      <selection activeCell="C24" sqref="C24"/>
    </sheetView>
  </sheetViews>
  <sheetFormatPr defaultColWidth="9.140625" defaultRowHeight="12" x14ac:dyDescent="0.2"/>
  <cols>
    <col min="1" max="1" width="2" style="3" customWidth="1"/>
    <col min="2" max="2" width="27.42578125" style="3" bestFit="1" customWidth="1"/>
    <col min="3" max="3" width="12.7109375" style="3" customWidth="1"/>
    <col min="4" max="4" width="13" style="3" customWidth="1"/>
    <col min="5" max="5" width="15.85546875" style="3" customWidth="1"/>
    <col min="6" max="6" width="12" style="3" customWidth="1"/>
    <col min="7" max="8" width="12" style="3" bestFit="1" customWidth="1"/>
    <col min="9" max="9" width="12" style="3" customWidth="1"/>
    <col min="10" max="13" width="12" style="3" bestFit="1" customWidth="1"/>
    <col min="14" max="16384" width="9.140625" style="3"/>
  </cols>
  <sheetData>
    <row r="1" spans="2:13" s="1" customFormat="1" ht="15.75" x14ac:dyDescent="0.25">
      <c r="B1" s="63" t="s">
        <v>34</v>
      </c>
    </row>
    <row r="2" spans="2:13" s="1" customFormat="1" ht="15" x14ac:dyDescent="0.25">
      <c r="H2" s="3"/>
    </row>
    <row r="3" spans="2:13" s="1" customFormat="1" ht="15.75" thickBot="1" x14ac:dyDescent="0.3">
      <c r="B3" s="82" t="s">
        <v>132</v>
      </c>
      <c r="C3" s="123">
        <f>Drivers!C16</f>
        <v>0.03</v>
      </c>
      <c r="I3" s="9"/>
    </row>
    <row r="4" spans="2:13" s="1" customFormat="1" ht="15" x14ac:dyDescent="0.25">
      <c r="B4" s="124"/>
      <c r="C4" s="15"/>
      <c r="I4" s="9"/>
    </row>
    <row r="5" spans="2:13" s="1" customFormat="1" ht="15.75" thickBot="1" x14ac:dyDescent="0.3">
      <c r="B5" s="82" t="s">
        <v>69</v>
      </c>
      <c r="C5" s="123"/>
    </row>
    <row r="6" spans="2:13" s="1" customFormat="1" ht="15" x14ac:dyDescent="0.25">
      <c r="B6" s="9" t="s">
        <v>81</v>
      </c>
      <c r="C6" s="38">
        <f>Drivers!C8</f>
        <v>1.4800000000000001E-2</v>
      </c>
    </row>
    <row r="7" spans="2:13" s="1" customFormat="1" ht="15" x14ac:dyDescent="0.25">
      <c r="B7" s="9" t="s">
        <v>46</v>
      </c>
      <c r="C7" s="20">
        <f>Drivers!C11</f>
        <v>0.98</v>
      </c>
    </row>
    <row r="8" spans="2:13" s="1" customFormat="1" ht="15" x14ac:dyDescent="0.25">
      <c r="B8" s="9" t="s">
        <v>133</v>
      </c>
      <c r="C8" s="38">
        <f>Drivers!C12</f>
        <v>4.7300000000000002E-2</v>
      </c>
    </row>
    <row r="9" spans="2:13" s="1" customFormat="1" ht="15" x14ac:dyDescent="0.25">
      <c r="B9" s="9" t="s">
        <v>134</v>
      </c>
      <c r="C9" s="38">
        <f>Drivers!C53</f>
        <v>0.26500000000000001</v>
      </c>
      <c r="H9" s="3"/>
    </row>
    <row r="10" spans="2:13" s="1" customFormat="1" ht="15" x14ac:dyDescent="0.25">
      <c r="B10" s="9" t="s">
        <v>82</v>
      </c>
      <c r="C10" s="20">
        <v>0.16</v>
      </c>
      <c r="H10" s="3"/>
    </row>
    <row r="11" spans="2:13" s="1" customFormat="1" ht="15" x14ac:dyDescent="0.25">
      <c r="B11" s="9" t="s">
        <v>135</v>
      </c>
      <c r="C11" s="39">
        <v>0.245</v>
      </c>
      <c r="G11" s="3"/>
      <c r="H11" s="3"/>
      <c r="I11" s="3"/>
    </row>
    <row r="12" spans="2:13" s="1" customFormat="1" ht="15" x14ac:dyDescent="0.25"/>
    <row r="13" spans="2:13" s="1" customFormat="1" ht="15.75" thickBot="1" x14ac:dyDescent="0.3">
      <c r="B13" s="70" t="s">
        <v>6</v>
      </c>
      <c r="C13" s="70">
        <v>0</v>
      </c>
      <c r="D13" s="70">
        <v>1</v>
      </c>
      <c r="E13" s="70">
        <v>2</v>
      </c>
      <c r="F13" s="70">
        <v>3</v>
      </c>
      <c r="G13" s="70">
        <v>4</v>
      </c>
      <c r="H13" s="70">
        <v>5</v>
      </c>
      <c r="I13" s="70">
        <v>6</v>
      </c>
      <c r="J13" s="70">
        <v>7</v>
      </c>
      <c r="K13" s="70">
        <v>8</v>
      </c>
      <c r="L13" s="70">
        <v>9</v>
      </c>
      <c r="M13" s="70">
        <v>10</v>
      </c>
    </row>
    <row r="14" spans="2:13" s="1" customFormat="1" ht="15" x14ac:dyDescent="0.25">
      <c r="B14" s="9" t="s">
        <v>142</v>
      </c>
      <c r="C14" s="9">
        <f>Financing!C14</f>
        <v>40000000</v>
      </c>
      <c r="D14" s="9">
        <f>Financing!D14</f>
        <v>38000000</v>
      </c>
      <c r="E14" s="9">
        <f>Financing!E14</f>
        <v>36000000</v>
      </c>
      <c r="F14" s="9">
        <f>Financing!F14</f>
        <v>32000000</v>
      </c>
      <c r="G14" s="9">
        <f>Financing!G14</f>
        <v>28000000</v>
      </c>
      <c r="H14" s="9">
        <f>Financing!H14</f>
        <v>24000000</v>
      </c>
      <c r="I14" s="9">
        <f>Financing!I14</f>
        <v>20000000</v>
      </c>
      <c r="J14" s="9">
        <f>Financing!J14</f>
        <v>16000000</v>
      </c>
      <c r="K14" s="9">
        <f>Financing!K14</f>
        <v>12000000</v>
      </c>
      <c r="L14" s="9">
        <f>Financing!L14</f>
        <v>6000000</v>
      </c>
      <c r="M14" s="9">
        <f>Financing!M14</f>
        <v>0</v>
      </c>
    </row>
    <row r="15" spans="2:13" s="1" customFormat="1" ht="15" x14ac:dyDescent="0.25">
      <c r="B15" s="9" t="s">
        <v>125</v>
      </c>
      <c r="C15" s="9">
        <f>Financing!C19</f>
        <v>32000000</v>
      </c>
      <c r="D15" s="9">
        <f ca="1">Financing!D19</f>
        <v>43124630.1369863</v>
      </c>
      <c r="E15" s="9">
        <f ca="1">Financing!E19</f>
        <v>43124630.1369863</v>
      </c>
      <c r="F15" s="9">
        <f ca="1">Financing!F19</f>
        <v>43124630.1369863</v>
      </c>
      <c r="G15" s="9">
        <f ca="1">Financing!G19</f>
        <v>43124630.1369863</v>
      </c>
      <c r="H15" s="9">
        <f ca="1">Financing!H19</f>
        <v>43124630.1369863</v>
      </c>
      <c r="I15" s="9">
        <f ca="1">Financing!I19</f>
        <v>43124630.1369863</v>
      </c>
      <c r="J15" s="9">
        <f ca="1">Financing!J19</f>
        <v>43124630.1369863</v>
      </c>
      <c r="K15" s="9">
        <f ca="1">Financing!K19</f>
        <v>43124630.1369863</v>
      </c>
      <c r="L15" s="9">
        <f ca="1">Financing!L19</f>
        <v>43124630.1369863</v>
      </c>
      <c r="M15" s="9">
        <f ca="1">Financing!M19</f>
        <v>43124630.1369863</v>
      </c>
    </row>
    <row r="16" spans="2:13" s="1" customFormat="1" ht="15" x14ac:dyDescent="0.25">
      <c r="B16" s="8" t="s">
        <v>47</v>
      </c>
      <c r="C16" s="8">
        <f t="shared" ref="C16:M16" si="0">SUM(C14:C15)</f>
        <v>72000000</v>
      </c>
      <c r="D16" s="8">
        <f t="shared" ca="1" si="0"/>
        <v>81124630.1369863</v>
      </c>
      <c r="E16" s="8">
        <f t="shared" ca="1" si="0"/>
        <v>79124630.1369863</v>
      </c>
      <c r="F16" s="8">
        <f t="shared" ca="1" si="0"/>
        <v>75124630.1369863</v>
      </c>
      <c r="G16" s="8">
        <f t="shared" ca="1" si="0"/>
        <v>71124630.1369863</v>
      </c>
      <c r="H16" s="8">
        <f t="shared" ca="1" si="0"/>
        <v>67124630.1369863</v>
      </c>
      <c r="I16" s="8">
        <f t="shared" ca="1" si="0"/>
        <v>63124630.1369863</v>
      </c>
      <c r="J16" s="8">
        <f t="shared" ca="1" si="0"/>
        <v>59124630.1369863</v>
      </c>
      <c r="K16" s="8">
        <f t="shared" ca="1" si="0"/>
        <v>55124630.1369863</v>
      </c>
      <c r="L16" s="8">
        <f t="shared" ca="1" si="0"/>
        <v>49124630.1369863</v>
      </c>
      <c r="M16" s="8">
        <f t="shared" ca="1" si="0"/>
        <v>43124630.1369863</v>
      </c>
    </row>
    <row r="17" spans="2:13" s="1" customFormat="1" ht="15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2:13" s="1" customFormat="1" ht="15" x14ac:dyDescent="0.25">
      <c r="B18" s="3" t="s">
        <v>140</v>
      </c>
      <c r="C18" s="14">
        <f t="shared" ref="C18" si="1">C14/C$16</f>
        <v>0.55555555555555558</v>
      </c>
      <c r="D18" s="14">
        <f t="shared" ref="D18:M18" ca="1" si="2">D14/D$16</f>
        <v>0.46841507857519415</v>
      </c>
      <c r="E18" s="14">
        <f t="shared" ca="1" si="2"/>
        <v>0.45497843007511302</v>
      </c>
      <c r="F18" s="14">
        <f t="shared" ca="1" si="2"/>
        <v>0.42595883589242933</v>
      </c>
      <c r="G18" s="14">
        <f t="shared" ca="1" si="2"/>
        <v>0.39367515790341401</v>
      </c>
      <c r="H18" s="14">
        <f t="shared" ca="1" si="2"/>
        <v>0.35754386953077266</v>
      </c>
      <c r="I18" s="14">
        <f t="shared" ca="1" si="2"/>
        <v>0.31683353956447974</v>
      </c>
      <c r="J18" s="14">
        <f t="shared" ca="1" si="2"/>
        <v>0.27061480068339505</v>
      </c>
      <c r="K18" s="14">
        <f t="shared" ca="1" si="2"/>
        <v>0.21768853541837202</v>
      </c>
      <c r="L18" s="14">
        <f t="shared" ca="1" si="2"/>
        <v>0.12213832416180484</v>
      </c>
      <c r="M18" s="14">
        <f t="shared" ca="1" si="2"/>
        <v>0</v>
      </c>
    </row>
    <row r="19" spans="2:13" s="1" customFormat="1" ht="15" x14ac:dyDescent="0.25">
      <c r="B19" s="3" t="s">
        <v>141</v>
      </c>
      <c r="C19" s="14">
        <f t="shared" ref="C19" si="3">C15/C$16</f>
        <v>0.44444444444444442</v>
      </c>
      <c r="D19" s="14">
        <f t="shared" ref="D19:M19" ca="1" si="4">D15/D$16</f>
        <v>0.53158492142480585</v>
      </c>
      <c r="E19" s="14">
        <f t="shared" ca="1" si="4"/>
        <v>0.54502156992488704</v>
      </c>
      <c r="F19" s="14">
        <f t="shared" ca="1" si="4"/>
        <v>0.57404116410757067</v>
      </c>
      <c r="G19" s="14">
        <f t="shared" ca="1" si="4"/>
        <v>0.60632484209658599</v>
      </c>
      <c r="H19" s="14">
        <f t="shared" ca="1" si="4"/>
        <v>0.64245613046922734</v>
      </c>
      <c r="I19" s="14">
        <f t="shared" ca="1" si="4"/>
        <v>0.68316646043552021</v>
      </c>
      <c r="J19" s="14">
        <f t="shared" ca="1" si="4"/>
        <v>0.72938519931660495</v>
      </c>
      <c r="K19" s="14">
        <f t="shared" ca="1" si="4"/>
        <v>0.78231146458162792</v>
      </c>
      <c r="L19" s="14">
        <f t="shared" ca="1" si="4"/>
        <v>0.87786167583819519</v>
      </c>
      <c r="M19" s="14">
        <f t="shared" ca="1" si="4"/>
        <v>1</v>
      </c>
    </row>
    <row r="20" spans="2:13" s="1" customFormat="1" ht="15" x14ac:dyDescent="0.25">
      <c r="B20" s="8" t="s">
        <v>139</v>
      </c>
      <c r="C20" s="19">
        <f t="shared" ref="C20:M20" si="5">SUM(C18:C19)</f>
        <v>1</v>
      </c>
      <c r="D20" s="19">
        <f t="shared" ca="1" si="5"/>
        <v>1</v>
      </c>
      <c r="E20" s="19">
        <f t="shared" ca="1" si="5"/>
        <v>1</v>
      </c>
      <c r="F20" s="19">
        <f t="shared" ca="1" si="5"/>
        <v>1</v>
      </c>
      <c r="G20" s="19">
        <f t="shared" ca="1" si="5"/>
        <v>1</v>
      </c>
      <c r="H20" s="19">
        <f t="shared" ca="1" si="5"/>
        <v>1</v>
      </c>
      <c r="I20" s="19">
        <f t="shared" ca="1" si="5"/>
        <v>1</v>
      </c>
      <c r="J20" s="19">
        <f t="shared" ca="1" si="5"/>
        <v>1</v>
      </c>
      <c r="K20" s="19">
        <f t="shared" ca="1" si="5"/>
        <v>1</v>
      </c>
      <c r="L20" s="19">
        <f t="shared" ca="1" si="5"/>
        <v>1</v>
      </c>
      <c r="M20" s="19">
        <f t="shared" ca="1" si="5"/>
        <v>1</v>
      </c>
    </row>
    <row r="21" spans="2:13" s="1" customFormat="1" ht="15" x14ac:dyDescent="0.25"/>
    <row r="22" spans="2:13" s="1" customFormat="1" ht="15" x14ac:dyDescent="0.25">
      <c r="B22" s="3" t="s">
        <v>137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2:13" s="1" customFormat="1" ht="15" x14ac:dyDescent="0.25">
      <c r="B23" s="3" t="s">
        <v>48</v>
      </c>
      <c r="C23" s="20">
        <f t="shared" ref="C23" si="6">C18/C19</f>
        <v>1.2500000000000002</v>
      </c>
      <c r="D23" s="20">
        <f t="shared" ref="D23:M23" ca="1" si="7">D18/D19</f>
        <v>0.88116697764809104</v>
      </c>
      <c r="E23" s="20">
        <f t="shared" ca="1" si="7"/>
        <v>0.83478976829819151</v>
      </c>
      <c r="F23" s="20">
        <f t="shared" ca="1" si="7"/>
        <v>0.74203534959839235</v>
      </c>
      <c r="G23" s="20">
        <f t="shared" ca="1" si="7"/>
        <v>0.6492809308985934</v>
      </c>
      <c r="H23" s="20">
        <f t="shared" ca="1" si="7"/>
        <v>0.55652651219879434</v>
      </c>
      <c r="I23" s="20">
        <f t="shared" ca="1" si="7"/>
        <v>0.46377209349899529</v>
      </c>
      <c r="J23" s="20">
        <f t="shared" ca="1" si="7"/>
        <v>0.37101767479919623</v>
      </c>
      <c r="K23" s="20">
        <f t="shared" ca="1" si="7"/>
        <v>0.27826325609939717</v>
      </c>
      <c r="L23" s="20">
        <f t="shared" ca="1" si="7"/>
        <v>0.13913162804969859</v>
      </c>
      <c r="M23" s="20">
        <f t="shared" ca="1" si="7"/>
        <v>0</v>
      </c>
    </row>
    <row r="24" spans="2:13" s="1" customFormat="1" ht="15" x14ac:dyDescent="0.25">
      <c r="B24" s="3" t="s">
        <v>138</v>
      </c>
      <c r="C24" s="20">
        <f>IF(Drivers!$C$9="Comparable Companies",'Beta (Comparable Companies)'!$I$8,$C$7/((1+(1-$C$11)*($C$10))))</f>
        <v>0.87437544610992146</v>
      </c>
      <c r="D24" s="20">
        <f>IF(Drivers!$C$9="Comparable Companies",'Beta (Comparable Companies)'!$I$8,$C$7/((1+(1-$C$11)*($C$10))))</f>
        <v>0.87437544610992146</v>
      </c>
      <c r="E24" s="20">
        <f>IF(Drivers!$C$9="Comparable Companies",'Beta (Comparable Companies)'!$I$8,$C$7/((1+(1-$C$11)*($C$10))))</f>
        <v>0.87437544610992146</v>
      </c>
      <c r="F24" s="20">
        <f>IF(Drivers!$C$9="Comparable Companies",'Beta (Comparable Companies)'!$I$8,$C$7/((1+(1-$C$11)*($C$10))))</f>
        <v>0.87437544610992146</v>
      </c>
      <c r="G24" s="20">
        <f>IF(Drivers!$C$9="Comparable Companies",'Beta (Comparable Companies)'!$I$8,$C$7/((1+(1-$C$11)*($C$10))))</f>
        <v>0.87437544610992146</v>
      </c>
      <c r="H24" s="20">
        <f>IF(Drivers!$C$9="Comparable Companies",'Beta (Comparable Companies)'!$I$8,$C$7/((1+(1-$C$11)*($C$10))))</f>
        <v>0.87437544610992146</v>
      </c>
      <c r="I24" s="20">
        <f>IF(Drivers!$C$9="Comparable Companies",'Beta (Comparable Companies)'!$I$8,$C$7/((1+(1-$C$11)*($C$10))))</f>
        <v>0.87437544610992146</v>
      </c>
      <c r="J24" s="20">
        <f>IF(Drivers!$C$9="Comparable Companies",'Beta (Comparable Companies)'!$I$8,$C$7/((1+(1-$C$11)*($C$10))))</f>
        <v>0.87437544610992146</v>
      </c>
      <c r="K24" s="20">
        <f>IF(Drivers!$C$9="Comparable Companies",'Beta (Comparable Companies)'!$I$8,$C$7/((1+(1-$C$11)*($C$10))))</f>
        <v>0.87437544610992146</v>
      </c>
      <c r="L24" s="20">
        <f>IF(Drivers!$C$9="Comparable Companies",'Beta (Comparable Companies)'!$I$8,$C$7/((1+(1-$C$11)*($C$10))))</f>
        <v>0.87437544610992146</v>
      </c>
      <c r="M24" s="20">
        <f>IF(Drivers!$C$9="Comparable Companies",'Beta (Comparable Companies)'!$I$8,$C$7/((1+(1-$C$11)*($C$10))))</f>
        <v>0.87437544610992146</v>
      </c>
    </row>
    <row r="25" spans="2:13" s="1" customFormat="1" ht="15" x14ac:dyDescent="0.25">
      <c r="B25" s="8" t="s">
        <v>137</v>
      </c>
      <c r="C25" s="21">
        <f>C24*(1+(1-$C$9)*(C23))</f>
        <v>1.6777078872234119</v>
      </c>
      <c r="D25" s="21">
        <f t="shared" ref="D25:M25" ca="1" si="8">D24*(1+(1-$C$9)*(D23))</f>
        <v>1.4406714614560314</v>
      </c>
      <c r="E25" s="21">
        <f t="shared" ca="1" si="8"/>
        <v>1.4108664080167623</v>
      </c>
      <c r="F25" s="21">
        <f t="shared" ca="1" si="8"/>
        <v>1.3512563011382246</v>
      </c>
      <c r="G25" s="21">
        <f t="shared" ca="1" si="8"/>
        <v>1.2916461942596866</v>
      </c>
      <c r="H25" s="21">
        <f t="shared" ca="1" si="8"/>
        <v>1.2320360873811487</v>
      </c>
      <c r="I25" s="21">
        <f t="shared" ca="1" si="8"/>
        <v>1.1724259805026109</v>
      </c>
      <c r="J25" s="21">
        <f t="shared" ca="1" si="8"/>
        <v>1.112815873624073</v>
      </c>
      <c r="K25" s="21">
        <f t="shared" ca="1" si="8"/>
        <v>1.053205766745535</v>
      </c>
      <c r="L25" s="21">
        <f t="shared" ca="1" si="8"/>
        <v>0.9637906064277284</v>
      </c>
      <c r="M25" s="21">
        <f t="shared" ca="1" si="8"/>
        <v>0.87437544610992146</v>
      </c>
    </row>
    <row r="26" spans="2:13" s="1" customFormat="1" ht="15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2:13" s="1" customFormat="1" ht="15" x14ac:dyDescent="0.25">
      <c r="B27" s="10" t="s">
        <v>69</v>
      </c>
      <c r="C27" s="22">
        <f t="shared" ref="C27:M27" si="9">$C$6+$C$8*C25</f>
        <v>9.4155583065667375E-2</v>
      </c>
      <c r="D27" s="22">
        <f t="shared" ca="1" si="9"/>
        <v>8.2943760126870297E-2</v>
      </c>
      <c r="E27" s="22">
        <f t="shared" ca="1" si="9"/>
        <v>8.1533981099192854E-2</v>
      </c>
      <c r="F27" s="22">
        <f t="shared" ca="1" si="9"/>
        <v>7.8714423043838022E-2</v>
      </c>
      <c r="G27" s="22">
        <f t="shared" ca="1" si="9"/>
        <v>7.5894864988483191E-2</v>
      </c>
      <c r="H27" s="22">
        <f t="shared" ca="1" si="9"/>
        <v>7.3075306933128331E-2</v>
      </c>
      <c r="I27" s="22">
        <f t="shared" ca="1" si="9"/>
        <v>7.02557488777735E-2</v>
      </c>
      <c r="J27" s="22">
        <f t="shared" ca="1" si="9"/>
        <v>6.7436190822418654E-2</v>
      </c>
      <c r="K27" s="22">
        <f t="shared" ca="1" si="9"/>
        <v>6.4616632767063809E-2</v>
      </c>
      <c r="L27" s="22">
        <f t="shared" ca="1" si="9"/>
        <v>6.0387295684031554E-2</v>
      </c>
      <c r="M27" s="22">
        <f t="shared" ca="1" si="9"/>
        <v>5.6157958600999286E-2</v>
      </c>
    </row>
    <row r="28" spans="2:13" s="1" customFormat="1" ht="15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2:13" s="1" customFormat="1" ht="15.75" thickBot="1" x14ac:dyDescent="0.3">
      <c r="B29" s="77" t="s">
        <v>34</v>
      </c>
      <c r="C29" s="78">
        <f t="shared" ref="C29:M29" si="10">C18*(1-$C$9)*$C$3+C19*C27</f>
        <v>5.4096925806963271E-2</v>
      </c>
      <c r="D29" s="78">
        <f t="shared" ca="1" si="10"/>
        <v>5.4420204692303326E-2</v>
      </c>
      <c r="E29" s="78">
        <f t="shared" ca="1" si="10"/>
        <v>5.44700527640644E-2</v>
      </c>
      <c r="F29" s="78">
        <f t="shared" ca="1" si="10"/>
        <v>5.4577711367568629E-2</v>
      </c>
      <c r="G29" s="78">
        <f t="shared" ca="1" si="10"/>
        <v>5.469747926185406E-2</v>
      </c>
      <c r="H29" s="78">
        <f t="shared" ca="1" si="10"/>
        <v>5.4831521248262259E-2</v>
      </c>
      <c r="I29" s="78">
        <f t="shared" ca="1" si="10"/>
        <v>5.4982550833472067E-2</v>
      </c>
      <c r="J29" s="78">
        <f t="shared" ca="1" si="10"/>
        <v>5.5154015839231296E-2</v>
      </c>
      <c r="K29" s="78">
        <f t="shared" ca="1" si="10"/>
        <v>5.5350364822309997E-2</v>
      </c>
      <c r="L29" s="78">
        <f t="shared" ca="1" si="10"/>
        <v>5.5704842636288346E-2</v>
      </c>
      <c r="M29" s="78">
        <f t="shared" ca="1" si="10"/>
        <v>5.6157958600999286E-2</v>
      </c>
    </row>
    <row r="33" spans="10:10" ht="15" x14ac:dyDescent="0.25">
      <c r="J33" s="1"/>
    </row>
    <row r="34" spans="10:10" ht="15" x14ac:dyDescent="0.25">
      <c r="J34" s="1"/>
    </row>
    <row r="35" spans="10:10" ht="15" x14ac:dyDescent="0.25">
      <c r="J35" s="1"/>
    </row>
    <row r="36" spans="10:10" ht="15" x14ac:dyDescent="0.25">
      <c r="J36" s="1"/>
    </row>
    <row r="37" spans="10:10" ht="15" x14ac:dyDescent="0.25">
      <c r="J37" s="1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73B0"/>
  </sheetPr>
  <dimension ref="B17"/>
  <sheetViews>
    <sheetView workbookViewId="0">
      <selection activeCell="D24" sqref="D24"/>
    </sheetView>
  </sheetViews>
  <sheetFormatPr defaultColWidth="9.140625" defaultRowHeight="12" x14ac:dyDescent="0.2"/>
  <cols>
    <col min="1" max="1" width="2" style="3" customWidth="1"/>
    <col min="2" max="16384" width="9.140625" style="3"/>
  </cols>
  <sheetData>
    <row r="17" spans="2:2" ht="50.25" x14ac:dyDescent="0.7">
      <c r="B17" s="13" t="s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O26"/>
  <sheetViews>
    <sheetView zoomScale="140" zoomScaleNormal="140" workbookViewId="0">
      <selection activeCell="D21" sqref="D21"/>
    </sheetView>
  </sheetViews>
  <sheetFormatPr defaultColWidth="9.140625" defaultRowHeight="12" x14ac:dyDescent="0.2"/>
  <cols>
    <col min="1" max="1" width="2.42578125" style="3" customWidth="1"/>
    <col min="2" max="2" width="30.5703125" style="3" customWidth="1"/>
    <col min="3" max="3" width="13.7109375" style="3" bestFit="1" customWidth="1"/>
    <col min="4" max="4" width="17.28515625" style="3" customWidth="1"/>
    <col min="5" max="5" width="11.140625" style="3" customWidth="1"/>
    <col min="6" max="13" width="10.28515625" style="3" bestFit="1" customWidth="1"/>
    <col min="14" max="14" width="12.28515625" style="3" customWidth="1"/>
    <col min="15" max="15" width="13" style="3" bestFit="1" customWidth="1"/>
    <col min="16" max="16384" width="9.140625" style="3"/>
  </cols>
  <sheetData>
    <row r="1" spans="2:15" s="1" customFormat="1" ht="15.75" x14ac:dyDescent="0.25">
      <c r="B1" s="63" t="s">
        <v>36</v>
      </c>
      <c r="M1" s="12"/>
    </row>
    <row r="2" spans="2:15" s="1" customFormat="1" ht="15" x14ac:dyDescent="0.25">
      <c r="M2" s="12"/>
    </row>
    <row r="3" spans="2:15" x14ac:dyDescent="0.2">
      <c r="B3" s="3" t="s">
        <v>121</v>
      </c>
      <c r="C3" s="64">
        <v>2</v>
      </c>
    </row>
    <row r="4" spans="2:15" x14ac:dyDescent="0.2">
      <c r="B4" s="3" t="s">
        <v>105</v>
      </c>
      <c r="C4" s="33">
        <f>Drivers!C12</f>
        <v>4.7300000000000002E-2</v>
      </c>
    </row>
    <row r="5" spans="2:15" x14ac:dyDescent="0.2">
      <c r="B5" s="3" t="s">
        <v>33</v>
      </c>
      <c r="C5" s="9">
        <f>Drivers!C35</f>
        <v>30000000</v>
      </c>
    </row>
    <row r="7" spans="2:15" ht="12.75" thickBot="1" x14ac:dyDescent="0.25">
      <c r="B7" s="69" t="s">
        <v>6</v>
      </c>
      <c r="C7" s="71"/>
      <c r="D7" s="71">
        <v>0</v>
      </c>
      <c r="E7" s="71">
        <v>1</v>
      </c>
      <c r="F7" s="71">
        <v>2</v>
      </c>
      <c r="G7" s="71">
        <v>3</v>
      </c>
      <c r="H7" s="71">
        <v>4</v>
      </c>
      <c r="I7" s="71">
        <v>5</v>
      </c>
      <c r="J7" s="71">
        <v>6</v>
      </c>
      <c r="K7" s="71">
        <v>7</v>
      </c>
      <c r="L7" s="71">
        <v>8</v>
      </c>
      <c r="M7" s="71">
        <v>9</v>
      </c>
      <c r="N7" s="71">
        <v>10</v>
      </c>
      <c r="O7" s="79" t="s">
        <v>33</v>
      </c>
    </row>
    <row r="8" spans="2:15" x14ac:dyDescent="0.2">
      <c r="B8" s="28" t="s">
        <v>17</v>
      </c>
      <c r="C8" s="28"/>
      <c r="D8" s="28">
        <f>-Financing!C19</f>
        <v>-32000000</v>
      </c>
      <c r="E8" s="9">
        <f ca="1">'Cash Flow'!D11</f>
        <v>-7924630.1369863022</v>
      </c>
      <c r="F8" s="9">
        <f ca="1">'Cash Flow'!E11</f>
        <v>13461338.356164381</v>
      </c>
      <c r="G8" s="9">
        <f ca="1">'Cash Flow'!F11</f>
        <v>14802392.328767121</v>
      </c>
      <c r="H8" s="9">
        <f ca="1">'Cash Flow'!G11</f>
        <v>16570377.041095898</v>
      </c>
      <c r="I8" s="9">
        <f ca="1">'Cash Flow'!H11</f>
        <v>17570101.320547953</v>
      </c>
      <c r="J8" s="9">
        <f ca="1">'Cash Flow'!I11</f>
        <v>19637407.883945215</v>
      </c>
      <c r="K8" s="9">
        <f ca="1">'Cash Flow'!J11</f>
        <v>20036895.338939182</v>
      </c>
      <c r="L8" s="9">
        <f ca="1">'Cash Flow'!K11</f>
        <v>20444435.488979343</v>
      </c>
      <c r="M8" s="9">
        <f ca="1">'Cash Flow'!L11</f>
        <v>20860194.886885528</v>
      </c>
      <c r="N8" s="9">
        <f ca="1">'Cash Flow'!M11</f>
        <v>20896430.608339563</v>
      </c>
      <c r="O8" s="9">
        <f>C5</f>
        <v>30000000</v>
      </c>
    </row>
    <row r="9" spans="2:15" x14ac:dyDescent="0.2">
      <c r="B9" s="28" t="s">
        <v>94</v>
      </c>
      <c r="C9" s="28"/>
      <c r="D9" s="28">
        <f>D8</f>
        <v>-32000000</v>
      </c>
      <c r="E9" s="28">
        <f t="shared" ref="E9:M9" ca="1" si="0">E8</f>
        <v>-7924630.1369863022</v>
      </c>
      <c r="F9" s="28">
        <f t="shared" ca="1" si="0"/>
        <v>13461338.356164381</v>
      </c>
      <c r="G9" s="28">
        <f t="shared" ca="1" si="0"/>
        <v>14802392.328767121</v>
      </c>
      <c r="H9" s="28">
        <f t="shared" ca="1" si="0"/>
        <v>16570377.041095898</v>
      </c>
      <c r="I9" s="28">
        <f t="shared" ca="1" si="0"/>
        <v>17570101.320547953</v>
      </c>
      <c r="J9" s="28">
        <f t="shared" ca="1" si="0"/>
        <v>19637407.883945215</v>
      </c>
      <c r="K9" s="28">
        <f t="shared" ca="1" si="0"/>
        <v>20036895.338939182</v>
      </c>
      <c r="L9" s="28">
        <f t="shared" ca="1" si="0"/>
        <v>20444435.488979343</v>
      </c>
      <c r="M9" s="28">
        <f t="shared" ca="1" si="0"/>
        <v>20860194.886885528</v>
      </c>
      <c r="N9" s="28">
        <f ca="1">N8+O8</f>
        <v>50896430.608339563</v>
      </c>
      <c r="O9" s="9"/>
    </row>
    <row r="10" spans="2:15" x14ac:dyDescent="0.2">
      <c r="B10" s="9" t="s">
        <v>34</v>
      </c>
      <c r="C10" s="9"/>
      <c r="D10" s="9"/>
      <c r="E10" s="29">
        <f ca="1">WACC!D29</f>
        <v>5.4420204692303326E-2</v>
      </c>
      <c r="F10" s="29">
        <f ca="1">WACC!E29</f>
        <v>5.44700527640644E-2</v>
      </c>
      <c r="G10" s="29">
        <f ca="1">WACC!F29</f>
        <v>5.4577711367568629E-2</v>
      </c>
      <c r="H10" s="29">
        <f ca="1">WACC!G29</f>
        <v>5.469747926185406E-2</v>
      </c>
      <c r="I10" s="29">
        <f ca="1">WACC!H29</f>
        <v>5.4831521248262259E-2</v>
      </c>
      <c r="J10" s="29">
        <f ca="1">WACC!I29</f>
        <v>5.4982550833472067E-2</v>
      </c>
      <c r="K10" s="29">
        <f ca="1">WACC!J29</f>
        <v>5.5154015839231296E-2</v>
      </c>
      <c r="L10" s="29">
        <f ca="1">WACC!K29</f>
        <v>5.5350364822309997E-2</v>
      </c>
      <c r="M10" s="29">
        <f ca="1">WACC!L29</f>
        <v>5.5704842636288346E-2</v>
      </c>
      <c r="N10" s="29">
        <f ca="1">WACC!M29</f>
        <v>5.6157958600999286E-2</v>
      </c>
    </row>
    <row r="11" spans="2:15" x14ac:dyDescent="0.2">
      <c r="B11" s="8" t="s">
        <v>35</v>
      </c>
      <c r="C11" s="8"/>
      <c r="D11" s="18">
        <f t="shared" ref="D11:N11" si="1">D8/(1+D10)^D7</f>
        <v>-32000000</v>
      </c>
      <c r="E11" s="18">
        <f t="shared" ca="1" si="1"/>
        <v>-7515628.1164953932</v>
      </c>
      <c r="F11" s="18">
        <f t="shared" ca="1" si="1"/>
        <v>12106531.607616205</v>
      </c>
      <c r="G11" s="18">
        <f t="shared" ca="1" si="1"/>
        <v>12621069.14598419</v>
      </c>
      <c r="H11" s="18">
        <f t="shared" ca="1" si="1"/>
        <v>13391238.910117125</v>
      </c>
      <c r="I11" s="18">
        <f t="shared" ca="1" si="1"/>
        <v>13454227.588140873</v>
      </c>
      <c r="J11" s="18">
        <f t="shared" ca="1" si="1"/>
        <v>14243361.648787977</v>
      </c>
      <c r="K11" s="18">
        <f t="shared" ca="1" si="1"/>
        <v>13760031.765678093</v>
      </c>
      <c r="L11" s="18">
        <f t="shared" ca="1" si="1"/>
        <v>13286231.228467062</v>
      </c>
      <c r="M11" s="18">
        <f t="shared" ca="1" si="1"/>
        <v>12806655.82256086</v>
      </c>
      <c r="N11" s="18">
        <f t="shared" ca="1" si="1"/>
        <v>12099943.69192934</v>
      </c>
      <c r="O11" s="8"/>
    </row>
    <row r="12" spans="2:15" x14ac:dyDescent="0.2">
      <c r="B12" s="23" t="s">
        <v>51</v>
      </c>
      <c r="C12" s="23"/>
      <c r="D12" s="9"/>
      <c r="E12" s="9"/>
      <c r="F12" s="9"/>
      <c r="G12" s="9"/>
      <c r="H12" s="9"/>
      <c r="I12" s="9"/>
      <c r="J12" s="9"/>
      <c r="K12" s="9"/>
      <c r="L12" s="9"/>
      <c r="M12" s="9"/>
      <c r="N12" s="9">
        <f ca="1">O8/(1+N10)^N7</f>
        <v>17371306.973977227</v>
      </c>
      <c r="O12" s="23"/>
    </row>
    <row r="13" spans="2:15" x14ac:dyDescent="0.2">
      <c r="B13" s="8" t="s">
        <v>50</v>
      </c>
      <c r="C13" s="8"/>
      <c r="D13" s="8">
        <f>SUM(D11:D12)</f>
        <v>-32000000</v>
      </c>
      <c r="E13" s="8">
        <f t="shared" ref="E13:N13" ca="1" si="2">SUM(E11:E12)</f>
        <v>-7515628.1164953932</v>
      </c>
      <c r="F13" s="8">
        <f t="shared" ca="1" si="2"/>
        <v>12106531.607616205</v>
      </c>
      <c r="G13" s="8">
        <f t="shared" ca="1" si="2"/>
        <v>12621069.14598419</v>
      </c>
      <c r="H13" s="8">
        <f t="shared" ca="1" si="2"/>
        <v>13391238.910117125</v>
      </c>
      <c r="I13" s="8">
        <f t="shared" ca="1" si="2"/>
        <v>13454227.588140873</v>
      </c>
      <c r="J13" s="8">
        <f t="shared" ca="1" si="2"/>
        <v>14243361.648787977</v>
      </c>
      <c r="K13" s="8">
        <f t="shared" ca="1" si="2"/>
        <v>13760031.765678093</v>
      </c>
      <c r="L13" s="8">
        <f t="shared" ca="1" si="2"/>
        <v>13286231.228467062</v>
      </c>
      <c r="M13" s="8">
        <f t="shared" ca="1" si="2"/>
        <v>12806655.82256086</v>
      </c>
      <c r="N13" s="8">
        <f t="shared" ca="1" si="2"/>
        <v>29471250.665906567</v>
      </c>
      <c r="O13" s="23"/>
    </row>
    <row r="15" spans="2:15" x14ac:dyDescent="0.2">
      <c r="B15" s="10" t="s">
        <v>49</v>
      </c>
      <c r="C15" s="23"/>
      <c r="D15" s="25">
        <f ca="1">SUM(D13:N13)</f>
        <v>95624970.266763553</v>
      </c>
      <c r="F15" s="15"/>
      <c r="G15" s="15"/>
      <c r="H15" s="15"/>
      <c r="I15" s="15"/>
      <c r="J15" s="15"/>
      <c r="K15" s="15"/>
      <c r="L15" s="15"/>
      <c r="M15" s="15"/>
      <c r="N15" s="15"/>
    </row>
    <row r="16" spans="2:15" x14ac:dyDescent="0.2">
      <c r="E16" s="31"/>
      <c r="O16" s="30"/>
    </row>
    <row r="17" spans="2:14" x14ac:dyDescent="0.2">
      <c r="B17" s="10" t="s">
        <v>38</v>
      </c>
      <c r="C17" s="10"/>
      <c r="D17" s="24">
        <f ca="1">IRR(D9:N9)</f>
        <v>0.31769586766842672</v>
      </c>
      <c r="F17" s="5"/>
      <c r="G17" s="5"/>
      <c r="H17" s="5"/>
      <c r="I17" s="5"/>
      <c r="J17" s="5"/>
      <c r="K17" s="5"/>
      <c r="L17" s="5"/>
      <c r="M17" s="5"/>
      <c r="N17" s="5"/>
    </row>
    <row r="18" spans="2:14" x14ac:dyDescent="0.2">
      <c r="D18" s="5"/>
      <c r="E18" s="5"/>
      <c r="F18" s="5"/>
      <c r="G18" s="5"/>
      <c r="H18" s="5"/>
      <c r="I18" s="5"/>
      <c r="J18" s="5"/>
      <c r="K18" s="5"/>
      <c r="L18" s="5"/>
      <c r="M18" s="5"/>
    </row>
    <row r="20" spans="2:14" x14ac:dyDescent="0.2">
      <c r="B20" s="15"/>
      <c r="C20" s="126" t="s">
        <v>52</v>
      </c>
      <c r="D20" s="126"/>
      <c r="E20" s="16"/>
      <c r="F20" s="16"/>
    </row>
    <row r="21" spans="2:14" x14ac:dyDescent="0.2">
      <c r="C21" s="61">
        <f>O8</f>
        <v>30000000</v>
      </c>
      <c r="D21" s="61">
        <f ca="1">D15</f>
        <v>95624970.266763553</v>
      </c>
      <c r="F21" s="5"/>
      <c r="G21" s="5"/>
      <c r="H21" s="5"/>
    </row>
    <row r="22" spans="2:14" x14ac:dyDescent="0.2">
      <c r="B22" s="32"/>
      <c r="C22" s="62">
        <v>40000000</v>
      </c>
      <c r="D22" s="61">
        <f t="dataTable" ref="D22:D26" dt2D="0" dtr="0" r1="O8" ca="1"/>
        <v>101415405.92475596</v>
      </c>
      <c r="E22" s="5"/>
    </row>
    <row r="23" spans="2:14" x14ac:dyDescent="0.2">
      <c r="B23" s="32"/>
      <c r="C23" s="62">
        <v>60000000</v>
      </c>
      <c r="D23" s="61">
        <v>112996277.24074078</v>
      </c>
      <c r="E23" s="5"/>
    </row>
    <row r="24" spans="2:14" x14ac:dyDescent="0.2">
      <c r="B24" s="32"/>
      <c r="C24" s="62">
        <v>80000000</v>
      </c>
      <c r="D24" s="61">
        <v>124577148.55672559</v>
      </c>
      <c r="E24" s="5"/>
    </row>
    <row r="25" spans="2:14" x14ac:dyDescent="0.2">
      <c r="B25" s="32"/>
      <c r="C25" s="62">
        <v>100000000</v>
      </c>
      <c r="D25" s="61">
        <v>136158019.87271041</v>
      </c>
    </row>
    <row r="26" spans="2:14" x14ac:dyDescent="0.2">
      <c r="B26" s="32"/>
      <c r="C26" s="62">
        <v>120000000</v>
      </c>
      <c r="D26" s="61">
        <v>147738891.18869525</v>
      </c>
    </row>
  </sheetData>
  <mergeCells count="1">
    <mergeCell ref="C20:D20"/>
  </mergeCells>
  <dataValidations count="1">
    <dataValidation type="list" allowBlank="1" showInputMessage="1" showErrorMessage="1" sqref="C3" xr:uid="{35F14251-38E6-4320-8134-FA369C14E8BF}">
      <formula1>"1,2,3"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6D2D86FF766094EA0D684BC5029216C" ma:contentTypeVersion="14" ma:contentTypeDescription="Създаване на нов документ" ma:contentTypeScope="" ma:versionID="70fb5cf26a688fd0f2212402486e35f8">
  <xsd:schema xmlns:xsd="http://www.w3.org/2001/XMLSchema" xmlns:xs="http://www.w3.org/2001/XMLSchema" xmlns:p="http://schemas.microsoft.com/office/2006/metadata/properties" xmlns:ns3="354e690b-58f6-4de0-a77f-a6d2333edeb9" xmlns:ns4="6f196dc1-68e7-4a46-afa3-544704f701d3" targetNamespace="http://schemas.microsoft.com/office/2006/metadata/properties" ma:root="true" ma:fieldsID="6fa47e50c6915cefbaca50760277b3dc" ns3:_="" ns4:_="">
    <xsd:import namespace="354e690b-58f6-4de0-a77f-a6d2333edeb9"/>
    <xsd:import namespace="6f196dc1-68e7-4a46-afa3-544704f701d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OCR" minOccurs="0"/>
                <xsd:element ref="ns4:MediaServiceLoca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4e690b-58f6-4de0-a77f-a6d2333ede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Споделено 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поделени с подробност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Хеширане на подсказване за споделяне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196dc1-68e7-4a46-afa3-544704f701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съдържание"/>
        <xsd:element ref="dc:title" minOccurs="0" maxOccurs="1" ma:index="4" ma:displayName="Заглав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99D38D-087F-43CE-88C7-FA0070FD4CB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61D015-A316-4E7F-9AD3-AB28E9B09B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4e690b-58f6-4de0-a77f-a6d2333edeb9"/>
    <ds:schemaRef ds:uri="6f196dc1-68e7-4a46-afa3-544704f701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169BBE-F719-4732-826B-90FB27DF4276}">
  <ds:schemaRefs>
    <ds:schemaRef ds:uri="http://schemas.openxmlformats.org/package/2006/metadata/core-properties"/>
    <ds:schemaRef ds:uri="http://schemas.microsoft.com/office/2006/documentManagement/types"/>
    <ds:schemaRef ds:uri="354e690b-58f6-4de0-a77f-a6d2333edeb9"/>
    <ds:schemaRef ds:uri="http://schemas.microsoft.com/office/2006/metadata/properties"/>
    <ds:schemaRef ds:uri="http://purl.org/dc/terms/"/>
    <ds:schemaRef ds:uri="http://purl.org/dc/elements/1.1/"/>
    <ds:schemaRef ds:uri="http://schemas.microsoft.com/office/infopath/2007/PartnerControls"/>
    <ds:schemaRef ds:uri="6f196dc1-68e7-4a46-afa3-544704f701d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Input --&gt;</vt:lpstr>
      <vt:lpstr>Drivers</vt:lpstr>
      <vt:lpstr>Workings --&gt;</vt:lpstr>
      <vt:lpstr>Sales Forecast</vt:lpstr>
      <vt:lpstr>Fixed Asset Roll-Forward</vt:lpstr>
      <vt:lpstr>Working Capital</vt:lpstr>
      <vt:lpstr>Financing</vt:lpstr>
      <vt:lpstr>P&amp;L</vt:lpstr>
      <vt:lpstr>Cash Flow</vt:lpstr>
      <vt:lpstr>Beta (Regression)</vt:lpstr>
      <vt:lpstr>Beta (Comparable Companies)</vt:lpstr>
      <vt:lpstr>WACC</vt:lpstr>
      <vt:lpstr>Output --&gt;</vt:lpstr>
      <vt:lpstr>Discounted Cash 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nko2000@hw.ac.uk</dc:creator>
  <cp:lastModifiedBy>Windows User</cp:lastModifiedBy>
  <dcterms:created xsi:type="dcterms:W3CDTF">2017-10-13T13:35:42Z</dcterms:created>
  <dcterms:modified xsi:type="dcterms:W3CDTF">2023-04-19T15:10:12Z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0x010100E6D2D86FF766094EA0D684BC5029216C</vt:lpwstr>
  </property>
</Properties>
</file>