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School Work et. al\Fall 2018\ABE 557\Homework\HW03\"/>
    </mc:Choice>
  </mc:AlternateContent>
  <xr:revisionPtr revIDLastSave="0" documentId="13_ncr:1_{4696ED7C-5046-4826-86A5-6B52A399EC06}" xr6:coauthVersionLast="37" xr6:coauthVersionMax="37" xr10:uidLastSave="{00000000-0000-0000-0000-000000000000}"/>
  <bookViews>
    <workbookView xWindow="0" yWindow="0" windowWidth="28800" windowHeight="12168" activeTab="3" xr2:uid="{669759D7-9F96-498D-8B09-8534311CA54C}"/>
  </bookViews>
  <sheets>
    <sheet name="9.7-2" sheetId="1" r:id="rId1"/>
    <sheet name="9.10-5" sheetId="4" r:id="rId2"/>
    <sheet name="9.10-6" sheetId="5" r:id="rId3"/>
    <sheet name="9.9-3" sheetId="2" r:id="rId4"/>
    <sheet name="9.8-1" sheetId="3" r:id="rId5"/>
  </sheets>
  <definedNames>
    <definedName name="solver_adj" localSheetId="4" hidden="1">'9.8-1'!$C$17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'9.8-1'!$G$2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3" l="1"/>
  <c r="B11" i="2"/>
  <c r="B12" i="2" s="1"/>
  <c r="C10" i="5" l="1"/>
  <c r="C9" i="5"/>
  <c r="C8" i="5"/>
  <c r="C6" i="5"/>
  <c r="C4" i="5"/>
  <c r="C3" i="5"/>
  <c r="C2" i="5"/>
  <c r="G2" i="4" l="1"/>
  <c r="D11" i="4"/>
  <c r="D9" i="4"/>
  <c r="D7" i="4"/>
  <c r="C18" i="3"/>
  <c r="E2" i="3"/>
  <c r="C3" i="3"/>
  <c r="C16" i="3"/>
  <c r="C11" i="3"/>
  <c r="C9" i="3"/>
  <c r="C2" i="3" s="1"/>
  <c r="C4" i="3"/>
  <c r="C7" i="3"/>
  <c r="C5" i="3"/>
  <c r="C13" i="3"/>
  <c r="C12" i="3"/>
  <c r="F2" i="3" l="1"/>
  <c r="G2" i="3" s="1"/>
  <c r="D3" i="2"/>
  <c r="D8" i="2" s="1"/>
  <c r="D4" i="2"/>
  <c r="D5" i="2"/>
  <c r="D6" i="2"/>
  <c r="D2" i="2"/>
  <c r="B9" i="2"/>
  <c r="C3" i="2"/>
  <c r="C4" i="2"/>
  <c r="C5" i="2"/>
  <c r="C6" i="2"/>
  <c r="C7" i="2"/>
  <c r="C2" i="2"/>
  <c r="B3" i="2"/>
  <c r="B4" i="2"/>
  <c r="B5" i="2"/>
  <c r="B6" i="2"/>
  <c r="B7" i="2"/>
  <c r="B2" i="2"/>
  <c r="J14" i="1" l="1"/>
  <c r="G15" i="1"/>
  <c r="H15" i="1" s="1"/>
  <c r="I5" i="1"/>
  <c r="I6" i="1"/>
  <c r="I7" i="1"/>
  <c r="I8" i="1"/>
  <c r="I9" i="1"/>
  <c r="I10" i="1"/>
  <c r="I11" i="1"/>
  <c r="I12" i="1"/>
  <c r="I13" i="1"/>
  <c r="I14" i="1"/>
  <c r="I4" i="1"/>
  <c r="I3" i="1"/>
  <c r="H14" i="1"/>
  <c r="H13" i="1"/>
  <c r="H12" i="1"/>
  <c r="H11" i="1"/>
  <c r="H10" i="1"/>
  <c r="H9" i="1"/>
  <c r="H8" i="1"/>
  <c r="H7" i="1"/>
  <c r="H6" i="1"/>
  <c r="H5" i="1"/>
  <c r="H4" i="1"/>
  <c r="H3" i="1"/>
  <c r="G14" i="1"/>
  <c r="G8" i="1"/>
  <c r="G9" i="1"/>
  <c r="G10" i="1"/>
  <c r="G11" i="1"/>
  <c r="G12" i="1" s="1"/>
  <c r="G13" i="1" s="1"/>
  <c r="G7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2" i="1"/>
  <c r="I15" i="1" l="1"/>
</calcChain>
</file>

<file path=xl/sharedStrings.xml><?xml version="1.0" encoding="utf-8"?>
<sst xmlns="http://schemas.openxmlformats.org/spreadsheetml/2006/main" count="125" uniqueCount="95">
  <si>
    <t>Time( Hr)</t>
  </si>
  <si>
    <t>Weight (kg)</t>
  </si>
  <si>
    <t>Free Moisture Content (kg H2O/kg solid)</t>
  </si>
  <si>
    <t>Bound/Equilibrium Water (kg)</t>
  </si>
  <si>
    <t>Dry Solid Weight (kg)</t>
  </si>
  <si>
    <t>Area (m^2)</t>
  </si>
  <si>
    <t>R, drying rate, (kg H2O/h-m2)</t>
  </si>
  <si>
    <t>Rc</t>
  </si>
  <si>
    <t>Drying Time</t>
  </si>
  <si>
    <t>X</t>
  </si>
  <si>
    <t>R</t>
  </si>
  <si>
    <t>delt</t>
  </si>
  <si>
    <t>X/Xc</t>
  </si>
  <si>
    <t>Time (hrs)</t>
  </si>
  <si>
    <t>log X/Xc</t>
  </si>
  <si>
    <t>Xc/X</t>
  </si>
  <si>
    <t>x1</t>
  </si>
  <si>
    <t>DLt</t>
  </si>
  <si>
    <t>Average</t>
  </si>
  <si>
    <t>hc</t>
  </si>
  <si>
    <t>T air</t>
  </si>
  <si>
    <t>H</t>
  </si>
  <si>
    <t>Hs</t>
  </si>
  <si>
    <t>ε</t>
  </si>
  <si>
    <t>T R</t>
  </si>
  <si>
    <t>W/m^2-K</t>
  </si>
  <si>
    <t>K</t>
  </si>
  <si>
    <t>kJ/kg</t>
  </si>
  <si>
    <t>j/kg</t>
  </si>
  <si>
    <t>cs</t>
  </si>
  <si>
    <t>Parameter</t>
  </si>
  <si>
    <t>Units</t>
  </si>
  <si>
    <t>Value</t>
  </si>
  <si>
    <t>A</t>
  </si>
  <si>
    <t>m^2</t>
  </si>
  <si>
    <t>kg-H2O/kg dry air</t>
  </si>
  <si>
    <t>v,air</t>
  </si>
  <si>
    <t>m/s</t>
  </si>
  <si>
    <t>m/h</t>
  </si>
  <si>
    <t>rho,air</t>
  </si>
  <si>
    <t>kg/m^3</t>
  </si>
  <si>
    <t>G</t>
  </si>
  <si>
    <t>kg/m^2-h</t>
  </si>
  <si>
    <t>-</t>
  </si>
  <si>
    <t>J/kg-K</t>
  </si>
  <si>
    <t>Ts</t>
  </si>
  <si>
    <t>hr</t>
  </si>
  <si>
    <t>LHS</t>
  </si>
  <si>
    <t>RHS</t>
  </si>
  <si>
    <t>Error^2</t>
  </si>
  <si>
    <t>C</t>
  </si>
  <si>
    <r>
      <rPr>
        <i/>
        <sz val="11"/>
        <color theme="1"/>
        <rFont val="Times New Roman"/>
        <family val="1"/>
      </rPr>
      <t>λ</t>
    </r>
    <r>
      <rPr>
        <i/>
        <sz val="11"/>
        <color theme="1"/>
        <rFont val="Calibri"/>
        <family val="2"/>
      </rPr>
      <t>s</t>
    </r>
  </si>
  <si>
    <t>Ls</t>
  </si>
  <si>
    <t>lbm/h</t>
  </si>
  <si>
    <t>X1</t>
  </si>
  <si>
    <t>lbm H2O/lbm DS</t>
  </si>
  <si>
    <t>lbm dry air/h</t>
  </si>
  <si>
    <t>X2</t>
  </si>
  <si>
    <t>H1</t>
  </si>
  <si>
    <t>H2</t>
  </si>
  <si>
    <t>Hc</t>
  </si>
  <si>
    <t>delHlm</t>
  </si>
  <si>
    <t>A/Ls</t>
  </si>
  <si>
    <t>kyMb</t>
  </si>
  <si>
    <t>lbm air/h-ft^2</t>
  </si>
  <si>
    <t>lbm H2O/lbm dry air</t>
  </si>
  <si>
    <t>ft^2/lbmDS</t>
  </si>
  <si>
    <t>Xc</t>
  </si>
  <si>
    <t>Hw</t>
  </si>
  <si>
    <t>time for drying (hrs)</t>
  </si>
  <si>
    <t>kg H2O/kg DS</t>
  </si>
  <si>
    <t>kg H20/kg air</t>
  </si>
  <si>
    <t>kg H2O/kg air</t>
  </si>
  <si>
    <t>%w, in</t>
  </si>
  <si>
    <t>%w,out</t>
  </si>
  <si>
    <t>kg DS/h</t>
  </si>
  <si>
    <t>m</t>
  </si>
  <si>
    <t>kg tot/h</t>
  </si>
  <si>
    <t>kg air/h</t>
  </si>
  <si>
    <t>Slope</t>
  </si>
  <si>
    <t>Dt</t>
  </si>
  <si>
    <t>Total</t>
  </si>
  <si>
    <t>Description</t>
  </si>
  <si>
    <t>Dry product flow rate</t>
  </si>
  <si>
    <t>Food Moisture Content In</t>
  </si>
  <si>
    <t>Food Moisture Content Out</t>
  </si>
  <si>
    <t>Critical Moisture Content</t>
  </si>
  <si>
    <t>Gas Mass Flow Rate</t>
  </si>
  <si>
    <t>Air Humidity Out</t>
  </si>
  <si>
    <t>Air Humidity In</t>
  </si>
  <si>
    <t>Critical Humidity of the Air</t>
  </si>
  <si>
    <t>Saturation Humidity</t>
  </si>
  <si>
    <t>Log mean Humidity Difference</t>
  </si>
  <si>
    <t>Area to mass flow ratio</t>
  </si>
  <si>
    <t>Empirically derived cosntants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</si>
</sst>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'9.7-2'!$D$1</c:f>
              <c:strCache>
                <c:ptCount val="1"/>
                <c:pt idx="0">
                  <c:v>R, drying rate, (kg H2O/h-m2)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'9.7-2'!$C$2:$C$12</c:f>
              <c:numCache>
                <c:formatCode>General</c:formatCode>
                <c:ptCount val="11"/>
                <c:pt idx="0">
                  <c:v>0.26268260292164669</c:v>
                </c:pt>
                <c:pt idx="1">
                  <c:v>0.24701195219123498</c:v>
                </c:pt>
                <c:pt idx="2">
                  <c:v>0.2265604249667994</c:v>
                </c:pt>
                <c:pt idx="3">
                  <c:v>0.19760956175298799</c:v>
                </c:pt>
                <c:pt idx="4">
                  <c:v>0.15909694555112885</c:v>
                </c:pt>
                <c:pt idx="5">
                  <c:v>0.11925630810092955</c:v>
                </c:pt>
                <c:pt idx="6">
                  <c:v>7.5962815405046361E-2</c:v>
                </c:pt>
                <c:pt idx="7">
                  <c:v>5.1792828685259022E-2</c:v>
                </c:pt>
                <c:pt idx="8">
                  <c:v>1.699867197875166E-2</c:v>
                </c:pt>
                <c:pt idx="9">
                  <c:v>6.1088977423638981E-3</c:v>
                </c:pt>
                <c:pt idx="10">
                  <c:v>0</c:v>
                </c:pt>
              </c:numCache>
            </c:numRef>
          </c:xVal>
          <c:yVal>
            <c:numRef>
              <c:f>'9.7-2'!$D$2:$D$12</c:f>
              <c:numCache>
                <c:formatCode>General</c:formatCode>
                <c:ptCount val="11"/>
                <c:pt idx="0">
                  <c:v>0.79301075268817334</c:v>
                </c:pt>
                <c:pt idx="1">
                  <c:v>1.0349462365591391</c:v>
                </c:pt>
                <c:pt idx="2">
                  <c:v>0.97670250896057331</c:v>
                </c:pt>
                <c:pt idx="3">
                  <c:v>0.97446236559139532</c:v>
                </c:pt>
                <c:pt idx="4">
                  <c:v>1.0080645161290351</c:v>
                </c:pt>
                <c:pt idx="5">
                  <c:v>0.73028673835125524</c:v>
                </c:pt>
                <c:pt idx="6">
                  <c:v>0.61155913978494181</c:v>
                </c:pt>
                <c:pt idx="7">
                  <c:v>0.35215053763440918</c:v>
                </c:pt>
                <c:pt idx="8">
                  <c:v>0.11021505376344065</c:v>
                </c:pt>
                <c:pt idx="9">
                  <c:v>4.121863799283168E-2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8-47BF-8BDF-8B920BC0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1112"/>
        <c:axId val="613341440"/>
      </c:scatterChart>
      <c:valAx>
        <c:axId val="613341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Free Moisture</a:t>
                </a:r>
                <a:r>
                  <a:rPr lang="en-US" baseline="0"/>
                  <a:t> (kg H2O/kg solid)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3341440"/>
        <c:crosses val="autoZero"/>
        <c:crossBetween val="midCat"/>
      </c:valAx>
      <c:valAx>
        <c:axId val="613341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Drying</a:t>
                </a:r>
                <a:r>
                  <a:rPr lang="en-US" baseline="0"/>
                  <a:t> Rate (kg H2O/h-m2)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334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'9.9-3'!$B$1</c:f>
              <c:strCache>
                <c:ptCount val="1"/>
                <c:pt idx="0">
                  <c:v>log X/Xc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725196850393701"/>
                  <c:y val="-2.86197725284340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'9.9-3'!$E$2:$E$7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7</c:v>
                </c:pt>
                <c:pt idx="3">
                  <c:v>11.4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'9.9-3'!$B$2:$B$7</c:f>
              <c:numCache>
                <c:formatCode>General</c:formatCode>
                <c:ptCount val="6"/>
                <c:pt idx="0">
                  <c:v>0</c:v>
                </c:pt>
                <c:pt idx="1">
                  <c:v>-0.18708664335714442</c:v>
                </c:pt>
                <c:pt idx="2">
                  <c:v>-0.49485002168009401</c:v>
                </c:pt>
                <c:pt idx="3">
                  <c:v>-0.769551078621726</c:v>
                </c:pt>
                <c:pt idx="4">
                  <c:v>-1</c:v>
                </c:pt>
                <c:pt idx="5">
                  <c:v>-1.2218487496163564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5-4087-BAF7-7484FB27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16840"/>
        <c:axId val="635018808"/>
      </c:scatterChart>
      <c:valAx>
        <c:axId val="635016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848899825021872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18808"/>
        <c:crossesAt val="-1.4"/>
        <c:crossBetween val="midCat"/>
      </c:valAx>
      <c:valAx>
        <c:axId val="635018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X/Xc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01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147637</xdr:rowOff>
    </xdr:from>
    <xdr:to>
      <xdr:col>2</xdr:col>
      <xdr:colOff>2114550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135C7-5813-4D7E-A6E5-D2ADBAD53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64770</xdr:rowOff>
    </xdr:from>
    <xdr:to>
      <xdr:col>12</xdr:col>
      <xdr:colOff>426720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D4F49-A910-4832-9023-0752D944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6336-4D9E-4C47-99FF-9EF7AD262C48}">
  <dimension ref="A1:J16"/>
  <sheetViews>
    <sheetView workbookViewId="0">
      <selection activeCell="C3" sqref="C3"/>
    </sheetView>
  </sheetViews>
  <sheetFormatPr defaultRowHeight="14.4" x14ac:dyDescent="0.3"/>
  <cols>
    <col min="1" max="1" width="28.109375" bestFit="1" customWidth="1"/>
    <col min="2" max="2" width="11.33203125" bestFit="1" customWidth="1"/>
    <col min="3" max="3" width="37.44140625" bestFit="1" customWidth="1"/>
    <col min="4" max="4" width="32" bestFit="1" customWidth="1"/>
    <col min="7" max="7" width="11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G1" s="8" t="s">
        <v>8</v>
      </c>
      <c r="H1" s="8"/>
      <c r="I1" s="8"/>
    </row>
    <row r="2" spans="1:10" x14ac:dyDescent="0.3">
      <c r="A2">
        <v>0</v>
      </c>
      <c r="B2">
        <v>4.944</v>
      </c>
      <c r="C2">
        <f>(B2-$B$15-$B$14)/$B$15</f>
        <v>0.26268260292164669</v>
      </c>
      <c r="D2">
        <f>(-1*$B$15/$B$16)*((C3-C2)/(A3-A2))</f>
        <v>0.79301075268817334</v>
      </c>
      <c r="E2">
        <f>AVERAGE(D3:D6)</f>
        <v>0.99854390681003569</v>
      </c>
      <c r="G2" t="s">
        <v>9</v>
      </c>
      <c r="H2" t="s">
        <v>10</v>
      </c>
      <c r="I2" t="s">
        <v>11</v>
      </c>
    </row>
    <row r="3" spans="1:10" x14ac:dyDescent="0.3">
      <c r="A3">
        <v>0.4</v>
      </c>
      <c r="B3">
        <v>4.8849999999999998</v>
      </c>
      <c r="C3">
        <f t="shared" ref="C3:C11" si="0">(B3-$B$15-$B$14)/$B$15</f>
        <v>0.24701195219123498</v>
      </c>
      <c r="D3">
        <f t="shared" ref="D3:D12" si="1">(-1*$B$15/$B$16)*((C4-C3)/(A4-A3))</f>
        <v>1.0349462365591391</v>
      </c>
      <c r="G3">
        <v>0.2</v>
      </c>
      <c r="H3">
        <f>0.9985</f>
        <v>0.99850000000000005</v>
      </c>
      <c r="I3">
        <f>(G3*$B$15-G4*$B$15)*(1/H3)*(1/$B$16)</f>
        <v>1.0136171999935395</v>
      </c>
    </row>
    <row r="4" spans="1:10" x14ac:dyDescent="0.3">
      <c r="A4">
        <v>0.8</v>
      </c>
      <c r="B4">
        <v>4.8079999999999998</v>
      </c>
      <c r="C4">
        <f t="shared" si="0"/>
        <v>0.2265604249667994</v>
      </c>
      <c r="D4">
        <f t="shared" si="1"/>
        <v>0.97670250896057331</v>
      </c>
      <c r="G4">
        <v>0.15</v>
      </c>
      <c r="H4">
        <f>D7-((D7-D6)/(C7-C6))*(C7-G4)</f>
        <v>0.94463859020310859</v>
      </c>
      <c r="I4">
        <f>(G4*$B$15-G5*$B$15)*(1/H4)*(1/$B$16)</f>
        <v>0.2142823265299662</v>
      </c>
    </row>
    <row r="5" spans="1:10" x14ac:dyDescent="0.3">
      <c r="A5">
        <v>1.4</v>
      </c>
      <c r="B5">
        <v>4.6989999999999998</v>
      </c>
      <c r="C5">
        <f t="shared" si="0"/>
        <v>0.19760956175298799</v>
      </c>
      <c r="D5">
        <f t="shared" si="1"/>
        <v>0.97446236559139532</v>
      </c>
      <c r="G5">
        <v>0.14000000000000001</v>
      </c>
      <c r="H5">
        <f>D7-((D7-D6)/(C7-C6))*(C7-G5)</f>
        <v>0.87491636798088612</v>
      </c>
      <c r="I5">
        <f t="shared" ref="I5:I15" si="2">(G5*$B$15-G6*$B$15)*(1/H5)*(1/$B$16)</f>
        <v>0.23135851865001522</v>
      </c>
    </row>
    <row r="6" spans="1:10" x14ac:dyDescent="0.3">
      <c r="A6">
        <v>2.2000000000000002</v>
      </c>
      <c r="B6">
        <v>4.5540000000000003</v>
      </c>
      <c r="C6">
        <f t="shared" si="0"/>
        <v>0.15909694555112885</v>
      </c>
      <c r="D6">
        <f t="shared" si="1"/>
        <v>1.0080645161290351</v>
      </c>
      <c r="G6">
        <v>0.13</v>
      </c>
      <c r="H6">
        <f>D7-((D7-D6)/(C7-C6))*(C7-G6)</f>
        <v>0.80519414575866355</v>
      </c>
      <c r="I6">
        <f t="shared" si="2"/>
        <v>0.25139198528075213</v>
      </c>
    </row>
    <row r="7" spans="1:10" x14ac:dyDescent="0.3">
      <c r="A7">
        <v>3</v>
      </c>
      <c r="B7">
        <v>4.4039999999999999</v>
      </c>
      <c r="C7">
        <f t="shared" si="0"/>
        <v>0.11925630810092955</v>
      </c>
      <c r="D7">
        <f t="shared" si="1"/>
        <v>0.73028673835125524</v>
      </c>
      <c r="G7">
        <f>G6-0.01</f>
        <v>0.12000000000000001</v>
      </c>
      <c r="H7">
        <f>D7-((D7-D6)/(C7-C6))*(C7-G7)</f>
        <v>0.73547192353644097</v>
      </c>
      <c r="I7">
        <f t="shared" si="2"/>
        <v>0.27522376906707308</v>
      </c>
    </row>
    <row r="8" spans="1:10" x14ac:dyDescent="0.3">
      <c r="A8">
        <v>4.2</v>
      </c>
      <c r="B8">
        <v>4.2409999999999997</v>
      </c>
      <c r="C8">
        <f t="shared" si="0"/>
        <v>7.5962815405046361E-2</v>
      </c>
      <c r="D8">
        <f t="shared" si="1"/>
        <v>0.61155913978494181</v>
      </c>
      <c r="G8">
        <f t="shared" ref="G8:G15" si="3">G7-0.01</f>
        <v>0.11000000000000001</v>
      </c>
      <c r="H8">
        <f>D8-((D8-D7)/(C8-C7))*(C8-G8)</f>
        <v>0.70490234074367253</v>
      </c>
      <c r="I8">
        <f t="shared" si="2"/>
        <v>0.28715943065979449</v>
      </c>
    </row>
    <row r="9" spans="1:10" x14ac:dyDescent="0.3">
      <c r="A9">
        <v>5</v>
      </c>
      <c r="B9">
        <v>4.1500000000000004</v>
      </c>
      <c r="C9">
        <f t="shared" si="0"/>
        <v>5.1792828685259022E-2</v>
      </c>
      <c r="D9">
        <f t="shared" si="1"/>
        <v>0.35215053763440918</v>
      </c>
      <c r="G9">
        <f t="shared" si="3"/>
        <v>0.10000000000000002</v>
      </c>
      <c r="H9">
        <f>D8-((D8-D7)/(C8-C7))*(C8-G9)</f>
        <v>0.67747845064537993</v>
      </c>
      <c r="I9">
        <f t="shared" si="2"/>
        <v>0.29878345893641473</v>
      </c>
    </row>
    <row r="10" spans="1:10" x14ac:dyDescent="0.3">
      <c r="A10">
        <v>7</v>
      </c>
      <c r="B10">
        <v>4.0190000000000001</v>
      </c>
      <c r="C10">
        <f t="shared" si="0"/>
        <v>1.699867197875166E-2</v>
      </c>
      <c r="D10">
        <f t="shared" si="1"/>
        <v>0.11021505376344065</v>
      </c>
      <c r="G10">
        <f t="shared" si="3"/>
        <v>9.0000000000000024E-2</v>
      </c>
      <c r="H10">
        <f>D8-((D8-D7)/(C8-C7))*(C8-G10)</f>
        <v>0.65005456054708732</v>
      </c>
      <c r="I10">
        <f t="shared" si="2"/>
        <v>0.31138825434645495</v>
      </c>
    </row>
    <row r="11" spans="1:10" x14ac:dyDescent="0.3">
      <c r="A11">
        <v>9</v>
      </c>
      <c r="B11">
        <v>3.9780000000000002</v>
      </c>
      <c r="C11">
        <f t="shared" si="0"/>
        <v>6.1088977423638981E-3</v>
      </c>
      <c r="D11">
        <f t="shared" si="1"/>
        <v>4.121863799283168E-2</v>
      </c>
      <c r="G11">
        <f t="shared" si="3"/>
        <v>8.0000000000000029E-2</v>
      </c>
      <c r="H11">
        <f>D8-((D8-D7)/(C8-C7))*(C8-G11)</f>
        <v>0.62263067044879472</v>
      </c>
      <c r="I11">
        <f t="shared" si="2"/>
        <v>0.32510341113264635</v>
      </c>
    </row>
    <row r="12" spans="1:10" x14ac:dyDescent="0.3">
      <c r="A12">
        <v>12</v>
      </c>
      <c r="B12">
        <v>3.9550000000000001</v>
      </c>
      <c r="C12">
        <v>0</v>
      </c>
      <c r="D12">
        <f t="shared" si="1"/>
        <v>0</v>
      </c>
      <c r="G12">
        <f t="shared" si="3"/>
        <v>7.0000000000000034E-2</v>
      </c>
      <c r="H12">
        <f>D9-((D9-D8)/(C9-C8))*(C9-G12)</f>
        <v>0.54756218244121269</v>
      </c>
      <c r="I12">
        <f t="shared" si="2"/>
        <v>0.36967373081949784</v>
      </c>
    </row>
    <row r="13" spans="1:10" x14ac:dyDescent="0.3">
      <c r="G13">
        <f t="shared" si="3"/>
        <v>6.0000000000000032E-2</v>
      </c>
      <c r="H13">
        <f>D9-((D9-D8)/(C9-C8))*(C9-G13)</f>
        <v>0.44023543660640363</v>
      </c>
      <c r="I13">
        <f t="shared" si="2"/>
        <v>0.45979795810868485</v>
      </c>
      <c r="J13" s="1" t="s">
        <v>81</v>
      </c>
    </row>
    <row r="14" spans="1:10" x14ac:dyDescent="0.3">
      <c r="A14" t="s">
        <v>3</v>
      </c>
      <c r="B14">
        <v>0.19</v>
      </c>
      <c r="G14">
        <f t="shared" si="3"/>
        <v>5.0000000000000031E-2</v>
      </c>
      <c r="H14">
        <f>D10-((D10-D9)/(C10-C9))*(C10-G14)</f>
        <v>0.33968439628991259</v>
      </c>
      <c r="I14">
        <f t="shared" si="2"/>
        <v>0.59590418944633983</v>
      </c>
      <c r="J14" s="2">
        <f>SUM(I3:I14)</f>
        <v>4.6336842329711798</v>
      </c>
    </row>
    <row r="15" spans="1:10" x14ac:dyDescent="0.3">
      <c r="A15" t="s">
        <v>4</v>
      </c>
      <c r="B15">
        <v>3.7650000000000001</v>
      </c>
      <c r="G15">
        <f t="shared" si="3"/>
        <v>4.0000000000000029E-2</v>
      </c>
      <c r="H15">
        <f>D10-((D10-D9)/(C10-C9))*(C10-G15)</f>
        <v>0.27015103012394348</v>
      </c>
      <c r="I15">
        <f t="shared" si="2"/>
        <v>2.9971287504747424</v>
      </c>
    </row>
    <row r="16" spans="1:10" x14ac:dyDescent="0.3">
      <c r="A16" t="s">
        <v>5</v>
      </c>
      <c r="B16">
        <v>0.186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D852-9F8C-430D-992B-18F720833A35}">
  <dimension ref="A1:G13"/>
  <sheetViews>
    <sheetView workbookViewId="0">
      <selection activeCell="B41" sqref="B41"/>
    </sheetView>
  </sheetViews>
  <sheetFormatPr defaultRowHeight="14.4" x14ac:dyDescent="0.3"/>
  <cols>
    <col min="1" max="1" width="13.33203125" customWidth="1"/>
    <col min="2" max="2" width="28.33203125" bestFit="1" customWidth="1"/>
    <col min="3" max="3" width="17.5546875" bestFit="1" customWidth="1"/>
    <col min="4" max="4" width="12" bestFit="1" customWidth="1"/>
    <col min="6" max="6" width="19" bestFit="1" customWidth="1"/>
  </cols>
  <sheetData>
    <row r="1" spans="1:7" x14ac:dyDescent="0.3">
      <c r="A1" s="1" t="s">
        <v>30</v>
      </c>
      <c r="B1" s="1" t="s">
        <v>82</v>
      </c>
      <c r="C1" s="1" t="s">
        <v>31</v>
      </c>
      <c r="D1" s="1" t="s">
        <v>32</v>
      </c>
    </row>
    <row r="2" spans="1:7" x14ac:dyDescent="0.3">
      <c r="A2" s="3" t="s">
        <v>52</v>
      </c>
      <c r="B2" s="3" t="s">
        <v>83</v>
      </c>
      <c r="C2" t="s">
        <v>53</v>
      </c>
      <c r="D2">
        <v>700</v>
      </c>
      <c r="F2" s="2" t="s">
        <v>69</v>
      </c>
      <c r="G2" s="2">
        <f>(D6/D2)*(1/D12)*(1/D13)*((D7-D9)/D11)</f>
        <v>4.2176460652875383</v>
      </c>
    </row>
    <row r="3" spans="1:7" x14ac:dyDescent="0.3">
      <c r="A3" s="3" t="s">
        <v>54</v>
      </c>
      <c r="B3" s="3" t="s">
        <v>84</v>
      </c>
      <c r="C3" t="s">
        <v>55</v>
      </c>
      <c r="D3">
        <v>0.4133</v>
      </c>
    </row>
    <row r="4" spans="1:7" x14ac:dyDescent="0.3">
      <c r="A4" s="3" t="s">
        <v>57</v>
      </c>
      <c r="B4" s="3" t="s">
        <v>85</v>
      </c>
      <c r="C4" t="s">
        <v>55</v>
      </c>
      <c r="D4">
        <v>3.7400000000000003E-2</v>
      </c>
    </row>
    <row r="5" spans="1:7" x14ac:dyDescent="0.3">
      <c r="A5" s="3" t="s">
        <v>67</v>
      </c>
      <c r="B5" s="3" t="s">
        <v>86</v>
      </c>
      <c r="C5" t="s">
        <v>55</v>
      </c>
      <c r="D5">
        <v>9.5899999999999999E-2</v>
      </c>
    </row>
    <row r="6" spans="1:7" x14ac:dyDescent="0.3">
      <c r="A6" s="3" t="s">
        <v>41</v>
      </c>
      <c r="B6" s="3" t="s">
        <v>87</v>
      </c>
      <c r="C6" t="s">
        <v>56</v>
      </c>
      <c r="D6">
        <v>13280</v>
      </c>
    </row>
    <row r="7" spans="1:7" x14ac:dyDescent="0.3">
      <c r="A7" s="3" t="s">
        <v>58</v>
      </c>
      <c r="B7" s="3" t="s">
        <v>88</v>
      </c>
      <c r="C7" t="s">
        <v>65</v>
      </c>
      <c r="D7">
        <f>((D6*D8) - (D2*D4) + (D2*D3))/(D6)</f>
        <v>7.6014006024096401E-2</v>
      </c>
    </row>
    <row r="8" spans="1:7" x14ac:dyDescent="0.3">
      <c r="A8" s="3" t="s">
        <v>59</v>
      </c>
      <c r="B8" s="3" t="s">
        <v>89</v>
      </c>
      <c r="C8" t="s">
        <v>65</v>
      </c>
      <c r="D8">
        <v>5.62E-2</v>
      </c>
    </row>
    <row r="9" spans="1:7" x14ac:dyDescent="0.3">
      <c r="A9" s="3" t="s">
        <v>60</v>
      </c>
      <c r="B9" s="3" t="s">
        <v>90</v>
      </c>
      <c r="C9" t="s">
        <v>65</v>
      </c>
      <c r="D9">
        <f>D8+(D2/D6)*(D5-D4)</f>
        <v>5.9283584337349399E-2</v>
      </c>
    </row>
    <row r="10" spans="1:7" x14ac:dyDescent="0.3">
      <c r="A10" s="3" t="s">
        <v>68</v>
      </c>
      <c r="B10" s="3" t="s">
        <v>91</v>
      </c>
      <c r="C10" t="s">
        <v>65</v>
      </c>
      <c r="D10">
        <v>7.8600000000000003E-2</v>
      </c>
    </row>
    <row r="11" spans="1:7" x14ac:dyDescent="0.3">
      <c r="A11" s="3" t="s">
        <v>61</v>
      </c>
      <c r="B11" s="3" t="s">
        <v>92</v>
      </c>
      <c r="C11" t="s">
        <v>65</v>
      </c>
      <c r="D11">
        <f>(D7-D9)/(LN((D10-D9)/(D10-D7)))</f>
        <v>8.3200937372174596E-3</v>
      </c>
    </row>
    <row r="12" spans="1:7" x14ac:dyDescent="0.3">
      <c r="A12" s="3" t="s">
        <v>62</v>
      </c>
      <c r="B12" s="3" t="s">
        <v>93</v>
      </c>
      <c r="C12" t="s">
        <v>66</v>
      </c>
      <c r="D12">
        <v>0.3</v>
      </c>
    </row>
    <row r="13" spans="1:7" x14ac:dyDescent="0.3">
      <c r="A13" s="3" t="s">
        <v>63</v>
      </c>
      <c r="B13" s="3" t="s">
        <v>94</v>
      </c>
      <c r="C13" t="s">
        <v>64</v>
      </c>
      <c r="D13">
        <v>30.15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B514-EF57-4B4F-AB11-63CBF61B6E0F}">
  <dimension ref="A1:C10"/>
  <sheetViews>
    <sheetView workbookViewId="0">
      <selection activeCell="D17" sqref="D17"/>
    </sheetView>
  </sheetViews>
  <sheetFormatPr defaultRowHeight="14.4" x14ac:dyDescent="0.3"/>
  <cols>
    <col min="1" max="1" width="15.6640625" customWidth="1"/>
    <col min="2" max="2" width="16.109375" customWidth="1"/>
    <col min="3" max="3" width="12" bestFit="1" customWidth="1"/>
  </cols>
  <sheetData>
    <row r="1" spans="1:3" x14ac:dyDescent="0.3">
      <c r="A1" s="1" t="s">
        <v>30</v>
      </c>
      <c r="B1" s="1" t="s">
        <v>31</v>
      </c>
      <c r="C1" s="1" t="s">
        <v>32</v>
      </c>
    </row>
    <row r="2" spans="1:3" x14ac:dyDescent="0.3">
      <c r="A2" s="1" t="s">
        <v>73</v>
      </c>
      <c r="B2" s="1" t="s">
        <v>43</v>
      </c>
      <c r="C2" s="1">
        <f>50/100</f>
        <v>0.5</v>
      </c>
    </row>
    <row r="3" spans="1:3" x14ac:dyDescent="0.3">
      <c r="A3" s="1" t="s">
        <v>74</v>
      </c>
      <c r="B3" s="1" t="s">
        <v>43</v>
      </c>
      <c r="C3" s="1">
        <f>27/100</f>
        <v>0.27</v>
      </c>
    </row>
    <row r="4" spans="1:3" x14ac:dyDescent="0.3">
      <c r="A4" t="s">
        <v>54</v>
      </c>
      <c r="B4" t="s">
        <v>70</v>
      </c>
      <c r="C4">
        <f>C2/(1-C2)</f>
        <v>1</v>
      </c>
    </row>
    <row r="5" spans="1:3" x14ac:dyDescent="0.3">
      <c r="A5" t="s">
        <v>59</v>
      </c>
      <c r="B5" t="s">
        <v>71</v>
      </c>
      <c r="C5">
        <v>0.01</v>
      </c>
    </row>
    <row r="6" spans="1:3" x14ac:dyDescent="0.3">
      <c r="A6" t="s">
        <v>57</v>
      </c>
      <c r="B6" t="s">
        <v>70</v>
      </c>
      <c r="C6">
        <f>C3/(1-C3)</f>
        <v>0.36986301369863017</v>
      </c>
    </row>
    <row r="7" spans="1:3" x14ac:dyDescent="0.3">
      <c r="A7" t="s">
        <v>58</v>
      </c>
      <c r="B7" t="s">
        <v>72</v>
      </c>
      <c r="C7">
        <v>0.02</v>
      </c>
    </row>
    <row r="8" spans="1:3" x14ac:dyDescent="0.3">
      <c r="A8" t="s">
        <v>76</v>
      </c>
      <c r="B8" t="s">
        <v>77</v>
      </c>
      <c r="C8">
        <f>702.2</f>
        <v>702.2</v>
      </c>
    </row>
    <row r="9" spans="1:3" x14ac:dyDescent="0.3">
      <c r="A9" t="s">
        <v>52</v>
      </c>
      <c r="B9" t="s">
        <v>75</v>
      </c>
      <c r="C9">
        <f>C8*(1-C3)</f>
        <v>512.60599999999999</v>
      </c>
    </row>
    <row r="10" spans="1:3" x14ac:dyDescent="0.3">
      <c r="A10" t="s">
        <v>41</v>
      </c>
      <c r="B10" t="s">
        <v>78</v>
      </c>
      <c r="C10">
        <f>C9*(C6-C4)/(C5-C7)</f>
        <v>32301.200000000001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32D5-1907-41F2-A9B8-7F1232994532}">
  <dimension ref="A1:E12"/>
  <sheetViews>
    <sheetView tabSelected="1" zoomScale="85" zoomScaleNormal="85" workbookViewId="0">
      <selection activeCell="B12" sqref="B12"/>
    </sheetView>
  </sheetViews>
  <sheetFormatPr defaultRowHeight="14.4" x14ac:dyDescent="0.3"/>
  <cols>
    <col min="2" max="2" width="12.6640625" bestFit="1" customWidth="1"/>
    <col min="4" max="4" width="12" bestFit="1" customWidth="1"/>
    <col min="5" max="5" width="10" bestFit="1" customWidth="1"/>
  </cols>
  <sheetData>
    <row r="1" spans="1:5" x14ac:dyDescent="0.3">
      <c r="A1" t="s">
        <v>12</v>
      </c>
      <c r="B1" t="s">
        <v>14</v>
      </c>
      <c r="C1" t="s">
        <v>15</v>
      </c>
      <c r="D1" t="s">
        <v>17</v>
      </c>
      <c r="E1" t="s">
        <v>13</v>
      </c>
    </row>
    <row r="2" spans="1:5" x14ac:dyDescent="0.3">
      <c r="A2">
        <v>1</v>
      </c>
      <c r="B2">
        <f>LOG10(A2)</f>
        <v>0</v>
      </c>
      <c r="C2">
        <f>1/A2</f>
        <v>1</v>
      </c>
      <c r="D2" t="e">
        <f>(4*$B$9^2*LN((8*C2/PI()^2)/(E2*PI()^2)))</f>
        <v>#DIV/0!</v>
      </c>
      <c r="E2">
        <v>0</v>
      </c>
    </row>
    <row r="3" spans="1:5" x14ac:dyDescent="0.3">
      <c r="A3">
        <v>0.65</v>
      </c>
      <c r="B3">
        <f t="shared" ref="B3:B7" si="0">LOG10(A3)</f>
        <v>-0.18708664335714442</v>
      </c>
      <c r="C3">
        <f t="shared" ref="C3:C7" si="1">1/A3</f>
        <v>1.5384615384615383</v>
      </c>
      <c r="D3">
        <f>(4*$B$9^2*LN((8*C3/PI()^2))/(E3*PI()^2))</f>
        <v>9.127095559725177E-7</v>
      </c>
      <c r="E3">
        <v>2.5</v>
      </c>
    </row>
    <row r="4" spans="1:5" x14ac:dyDescent="0.3">
      <c r="A4">
        <v>0.32</v>
      </c>
      <c r="B4">
        <f t="shared" si="0"/>
        <v>-0.49485002168009401</v>
      </c>
      <c r="C4">
        <f t="shared" si="1"/>
        <v>3.125</v>
      </c>
      <c r="D4">
        <f t="shared" ref="D4:D6" si="2">(4*$B$9^2*LN((8*C4/PI()^2))/(E4*PI()^2))</f>
        <v>1.3723191749834314E-6</v>
      </c>
      <c r="E4">
        <v>7</v>
      </c>
    </row>
    <row r="5" spans="1:5" x14ac:dyDescent="0.3">
      <c r="A5">
        <v>0.17</v>
      </c>
      <c r="B5">
        <f t="shared" si="0"/>
        <v>-0.769551078621726</v>
      </c>
      <c r="C5">
        <f t="shared" si="1"/>
        <v>5.8823529411764701</v>
      </c>
      <c r="D5">
        <f t="shared" si="2"/>
        <v>1.4161267022920478E-6</v>
      </c>
      <c r="E5">
        <v>11.4</v>
      </c>
    </row>
    <row r="6" spans="1:5" x14ac:dyDescent="0.3">
      <c r="A6">
        <v>0.1</v>
      </c>
      <c r="B6">
        <f t="shared" si="0"/>
        <v>-1</v>
      </c>
      <c r="C6">
        <f t="shared" si="1"/>
        <v>10</v>
      </c>
      <c r="D6">
        <f t="shared" si="2"/>
        <v>1.54487843264755E-6</v>
      </c>
      <c r="E6">
        <v>14</v>
      </c>
    </row>
    <row r="7" spans="1:5" x14ac:dyDescent="0.3">
      <c r="A7">
        <v>0.06</v>
      </c>
      <c r="B7">
        <f t="shared" si="0"/>
        <v>-1.2218487496163564</v>
      </c>
      <c r="C7">
        <f t="shared" si="1"/>
        <v>16.666666666666668</v>
      </c>
      <c r="E7">
        <v>16</v>
      </c>
    </row>
    <row r="8" spans="1:5" x14ac:dyDescent="0.3">
      <c r="C8" s="2" t="s">
        <v>18</v>
      </c>
      <c r="D8" s="2">
        <f>AVERAGE(D3:D7)</f>
        <v>1.3115084664738866E-6</v>
      </c>
    </row>
    <row r="9" spans="1:5" x14ac:dyDescent="0.3">
      <c r="A9" t="s">
        <v>16</v>
      </c>
      <c r="B9">
        <f>0.0101/2</f>
        <v>5.0499999999999998E-3</v>
      </c>
    </row>
    <row r="11" spans="1:5" x14ac:dyDescent="0.3">
      <c r="A11" t="s">
        <v>79</v>
      </c>
      <c r="B11">
        <f>SLOPE(LOG(C2:C6),E2:E6)</f>
        <v>6.9713712906964875E-2</v>
      </c>
    </row>
    <row r="12" spans="1:5" x14ac:dyDescent="0.3">
      <c r="A12" t="s">
        <v>80</v>
      </c>
      <c r="B12">
        <f>(B11*B9^2)/PI()^2</f>
        <v>1.8013629433958252E-7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6144-DF8C-4854-B62E-73ED12FFC516}">
  <dimension ref="A1:G19"/>
  <sheetViews>
    <sheetView workbookViewId="0">
      <selection activeCell="C20" sqref="C20"/>
    </sheetView>
  </sheetViews>
  <sheetFormatPr defaultRowHeight="14.4" x14ac:dyDescent="0.3"/>
  <cols>
    <col min="1" max="1" width="10.5546875" bestFit="1" customWidth="1"/>
    <col min="2" max="2" width="15.33203125" bestFit="1" customWidth="1"/>
    <col min="3" max="3" width="12" bestFit="1" customWidth="1"/>
  </cols>
  <sheetData>
    <row r="1" spans="1:7" x14ac:dyDescent="0.3">
      <c r="A1" s="4" t="s">
        <v>30</v>
      </c>
      <c r="B1" s="4" t="s">
        <v>31</v>
      </c>
      <c r="C1" s="4" t="s">
        <v>32</v>
      </c>
      <c r="E1" s="3" t="s">
        <v>47</v>
      </c>
      <c r="F1" s="3" t="s">
        <v>48</v>
      </c>
      <c r="G1" s="3" t="s">
        <v>49</v>
      </c>
    </row>
    <row r="2" spans="1:7" x14ac:dyDescent="0.3">
      <c r="A2" s="3" t="s">
        <v>19</v>
      </c>
      <c r="B2" t="s">
        <v>25</v>
      </c>
      <c r="C2">
        <f>0.0204*C9^0.8</f>
        <v>35.842627916748647</v>
      </c>
      <c r="E2">
        <f>(C14-C13)*C11/C16</f>
        <v>49.720648564172691</v>
      </c>
      <c r="F2">
        <f>(C4-C17) + (C3/C2)*(C5-C17)</f>
        <v>49.72065256558048</v>
      </c>
      <c r="G2">
        <f>(E2-F2)^2</f>
        <v>1.601126428765434E-11</v>
      </c>
    </row>
    <row r="3" spans="1:7" x14ac:dyDescent="0.3">
      <c r="A3" s="3" t="s">
        <v>46</v>
      </c>
      <c r="B3" t="s">
        <v>25</v>
      </c>
      <c r="C3">
        <f>C15*5.676*((C5/100)^4-(C17/100)^4)/(C5-C17)</f>
        <v>8.1782365857942256</v>
      </c>
    </row>
    <row r="4" spans="1:7" x14ac:dyDescent="0.3">
      <c r="A4" s="3" t="s">
        <v>20</v>
      </c>
      <c r="B4" t="s">
        <v>26</v>
      </c>
      <c r="C4">
        <f>65.6 + 273</f>
        <v>338.6</v>
      </c>
    </row>
    <row r="5" spans="1:7" x14ac:dyDescent="0.3">
      <c r="A5" s="3" t="s">
        <v>24</v>
      </c>
      <c r="B5" t="s">
        <v>26</v>
      </c>
      <c r="C5">
        <f>93.3 + 273.3</f>
        <v>366.6</v>
      </c>
    </row>
    <row r="6" spans="1:7" x14ac:dyDescent="0.3">
      <c r="A6" s="3" t="s">
        <v>36</v>
      </c>
      <c r="B6" t="s">
        <v>37</v>
      </c>
      <c r="C6">
        <v>3.05</v>
      </c>
    </row>
    <row r="7" spans="1:7" x14ac:dyDescent="0.3">
      <c r="A7" s="3" t="s">
        <v>36</v>
      </c>
      <c r="B7" t="s">
        <v>38</v>
      </c>
      <c r="C7">
        <f>C6*60*60</f>
        <v>10980</v>
      </c>
    </row>
    <row r="8" spans="1:7" x14ac:dyDescent="0.3">
      <c r="A8" s="3" t="s">
        <v>39</v>
      </c>
      <c r="B8" t="s">
        <v>40</v>
      </c>
      <c r="C8">
        <v>1.036</v>
      </c>
    </row>
    <row r="9" spans="1:7" x14ac:dyDescent="0.3">
      <c r="A9" s="3" t="s">
        <v>41</v>
      </c>
      <c r="B9" t="s">
        <v>42</v>
      </c>
      <c r="C9">
        <f>C7*C8</f>
        <v>11375.28</v>
      </c>
    </row>
    <row r="10" spans="1:7" x14ac:dyDescent="0.3">
      <c r="A10" s="5" t="s">
        <v>51</v>
      </c>
      <c r="B10" t="s">
        <v>27</v>
      </c>
      <c r="C10">
        <v>2424</v>
      </c>
    </row>
    <row r="11" spans="1:7" x14ac:dyDescent="0.3">
      <c r="A11" s="5" t="s">
        <v>51</v>
      </c>
      <c r="B11" t="s">
        <v>28</v>
      </c>
      <c r="C11">
        <f>C10*1000</f>
        <v>2424000</v>
      </c>
    </row>
    <row r="12" spans="1:7" x14ac:dyDescent="0.3">
      <c r="A12" s="5" t="s">
        <v>33</v>
      </c>
      <c r="B12" t="s">
        <v>34</v>
      </c>
      <c r="C12">
        <f>0.305^2</f>
        <v>9.3024999999999997E-2</v>
      </c>
    </row>
    <row r="13" spans="1:7" x14ac:dyDescent="0.3">
      <c r="A13" s="5" t="s">
        <v>21</v>
      </c>
      <c r="B13" t="s">
        <v>35</v>
      </c>
      <c r="C13">
        <f>0.01</f>
        <v>0.01</v>
      </c>
    </row>
    <row r="14" spans="1:7" x14ac:dyDescent="0.3">
      <c r="A14" s="5" t="s">
        <v>22</v>
      </c>
      <c r="B14" t="s">
        <v>35</v>
      </c>
      <c r="C14">
        <v>3.1E-2</v>
      </c>
    </row>
    <row r="15" spans="1:7" x14ac:dyDescent="0.3">
      <c r="A15" s="6" t="s">
        <v>23</v>
      </c>
      <c r="B15" t="s">
        <v>43</v>
      </c>
      <c r="C15">
        <v>0.95</v>
      </c>
    </row>
    <row r="16" spans="1:7" x14ac:dyDescent="0.3">
      <c r="A16" s="5" t="s">
        <v>29</v>
      </c>
      <c r="B16" t="s">
        <v>44</v>
      </c>
      <c r="C16">
        <f>(1.005 + 1.88*C13)*1000</f>
        <v>1023.7999999999998</v>
      </c>
    </row>
    <row r="17" spans="1:3" x14ac:dyDescent="0.3">
      <c r="A17" s="5" t="s">
        <v>45</v>
      </c>
      <c r="B17" t="s">
        <v>26</v>
      </c>
      <c r="C17">
        <v>303.31836155798169</v>
      </c>
    </row>
    <row r="18" spans="1:3" x14ac:dyDescent="0.3">
      <c r="A18" s="7" t="s">
        <v>45</v>
      </c>
      <c r="B18" s="2" t="s">
        <v>50</v>
      </c>
      <c r="C18" s="2">
        <f>C17-273</f>
        <v>30.318361557981689</v>
      </c>
    </row>
    <row r="19" spans="1:3" x14ac:dyDescent="0.3">
      <c r="A19" s="5" t="s">
        <v>7</v>
      </c>
      <c r="C19">
        <f>(C2/C11)*(C4-C17)*(3600)</f>
        <v>1.8780989687680969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9.7-2</vt:lpstr>
      <vt:lpstr>9.10-5</vt:lpstr>
      <vt:lpstr>9.10-6</vt:lpstr>
      <vt:lpstr>9.9-3</vt:lpstr>
      <vt:lpstr>9.8-1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2018-10-16T19:52:04Z</dcterms:created>
  <dcterms:modified xsi:type="dcterms:W3CDTF">2018-10-19T21:53:52Z</dcterms:modified>
</cp:coreProperties>
</file>