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School Work et. al\Spring 2019\ABE 55800\Homework\hw03\"/>
    </mc:Choice>
  </mc:AlternateContent>
  <xr:revisionPtr revIDLastSave="0" documentId="13_ncr:1_{C7BB7D7D-5EB9-4837-8431-6CDB9C19D06D}" xr6:coauthVersionLast="40" xr6:coauthVersionMax="40" xr10:uidLastSave="{00000000-0000-0000-0000-000000000000}"/>
  <bookViews>
    <workbookView xWindow="-108" yWindow="-108" windowWidth="23256" windowHeight="12576" firstSheet="1" activeTab="8" xr2:uid="{F2D87B01-E5B0-4B05-8404-E53E5B29721B}"/>
  </bookViews>
  <sheets>
    <sheet name="7-17" sheetId="1" r:id="rId1"/>
    <sheet name="8-4" sheetId="2" r:id="rId2"/>
    <sheet name="8-5" sheetId="3" r:id="rId3"/>
    <sheet name="8-7" sheetId="4" r:id="rId4"/>
    <sheet name="8-10" sheetId="5" r:id="rId5"/>
    <sheet name="8-17" sheetId="8" r:id="rId6"/>
    <sheet name="8-13" sheetId="9" r:id="rId7"/>
    <sheet name="8-18" sheetId="7" r:id="rId8"/>
    <sheet name="quiz" sheetId="10" r:id="rId9"/>
  </sheets>
  <definedNames>
    <definedName name="solver_adj" localSheetId="1" hidden="1">'8-4'!$C$5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'8-4'!$D$8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0" l="1"/>
  <c r="I5" i="10"/>
  <c r="I6" i="10"/>
  <c r="I7" i="10"/>
  <c r="I8" i="10"/>
  <c r="I9" i="10"/>
  <c r="I10" i="10"/>
  <c r="I11" i="10"/>
  <c r="I12" i="10"/>
  <c r="I13" i="10"/>
  <c r="I4" i="10"/>
  <c r="E4" i="10"/>
  <c r="D32" i="10"/>
  <c r="D23" i="10"/>
  <c r="D24" i="10"/>
  <c r="D25" i="10"/>
  <c r="D26" i="10"/>
  <c r="D27" i="10"/>
  <c r="D28" i="10"/>
  <c r="D29" i="10"/>
  <c r="D30" i="10"/>
  <c r="D31" i="10"/>
  <c r="D22" i="10"/>
  <c r="C23" i="10"/>
  <c r="C24" i="10"/>
  <c r="C25" i="10"/>
  <c r="C26" i="10"/>
  <c r="C27" i="10"/>
  <c r="C28" i="10"/>
  <c r="C29" i="10"/>
  <c r="C30" i="10"/>
  <c r="C31" i="10"/>
  <c r="C22" i="10"/>
  <c r="B23" i="10"/>
  <c r="B24" i="10" s="1"/>
  <c r="B25" i="10" s="1"/>
  <c r="B26" i="10" s="1"/>
  <c r="B27" i="10" s="1"/>
  <c r="B28" i="10" s="1"/>
  <c r="B29" i="10" s="1"/>
  <c r="B30" i="10" s="1"/>
  <c r="B31" i="10" s="1"/>
  <c r="I2" i="7"/>
  <c r="F5" i="10"/>
  <c r="F6" i="10" s="1"/>
  <c r="F4" i="10"/>
  <c r="E5" i="10"/>
  <c r="E6" i="10"/>
  <c r="E7" i="10"/>
  <c r="E8" i="10"/>
  <c r="E9" i="10"/>
  <c r="E10" i="10"/>
  <c r="E11" i="10"/>
  <c r="E12" i="10"/>
  <c r="D5" i="10"/>
  <c r="D6" i="10"/>
  <c r="D7" i="10"/>
  <c r="D8" i="10"/>
  <c r="D9" i="10"/>
  <c r="D10" i="10"/>
  <c r="D11" i="10"/>
  <c r="D12" i="10"/>
  <c r="D13" i="10"/>
  <c r="D4" i="10"/>
  <c r="E4" i="7"/>
  <c r="E3" i="7"/>
  <c r="E2" i="7"/>
  <c r="J4" i="10" l="1"/>
  <c r="K4" i="10" s="1"/>
  <c r="J6" i="10"/>
  <c r="K6" i="10" s="1"/>
  <c r="F7" i="10"/>
  <c r="J5" i="10"/>
  <c r="K5" i="10" s="1"/>
  <c r="D9" i="3"/>
  <c r="L4" i="1"/>
  <c r="J7" i="10" l="1"/>
  <c r="K7" i="10" s="1"/>
  <c r="F8" i="10"/>
  <c r="I5" i="1"/>
  <c r="F9" i="10" l="1"/>
  <c r="J8" i="10"/>
  <c r="K8" i="10" s="1"/>
  <c r="C9" i="8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D25" i="8" s="1"/>
  <c r="C8" i="8"/>
  <c r="C7" i="8"/>
  <c r="C6" i="8"/>
  <c r="A23" i="8"/>
  <c r="A24" i="8"/>
  <c r="A25" i="8" s="1"/>
  <c r="A20" i="8"/>
  <c r="A21" i="8" s="1"/>
  <c r="A22" i="8" s="1"/>
  <c r="A8" i="8"/>
  <c r="A9" i="8"/>
  <c r="A10" i="8"/>
  <c r="A11" i="8"/>
  <c r="A12" i="8" s="1"/>
  <c r="A13" i="8" s="1"/>
  <c r="A14" i="8" s="1"/>
  <c r="A15" i="8" s="1"/>
  <c r="A16" i="8" s="1"/>
  <c r="A17" i="8" s="1"/>
  <c r="A18" i="8" s="1"/>
  <c r="A19" i="8" s="1"/>
  <c r="A7" i="8"/>
  <c r="I13" i="7"/>
  <c r="I12" i="7"/>
  <c r="J12" i="7" s="1"/>
  <c r="D3" i="7"/>
  <c r="D4" i="7"/>
  <c r="D5" i="7"/>
  <c r="D6" i="7"/>
  <c r="D7" i="7"/>
  <c r="D8" i="7"/>
  <c r="D9" i="7"/>
  <c r="D10" i="7"/>
  <c r="D11" i="7"/>
  <c r="D2" i="7"/>
  <c r="E5" i="7"/>
  <c r="E6" i="7"/>
  <c r="E7" i="7"/>
  <c r="E8" i="7"/>
  <c r="E9" i="7"/>
  <c r="E10" i="7"/>
  <c r="E11" i="7"/>
  <c r="F2" i="7"/>
  <c r="J2" i="7" s="1"/>
  <c r="J13" i="7" s="1"/>
  <c r="I15" i="7" s="1"/>
  <c r="F10" i="10" l="1"/>
  <c r="I14" i="7"/>
  <c r="F3" i="7"/>
  <c r="I4" i="5"/>
  <c r="I5" i="5"/>
  <c r="I6" i="5"/>
  <c r="I7" i="5"/>
  <c r="I8" i="5"/>
  <c r="I9" i="5"/>
  <c r="I3" i="5"/>
  <c r="H4" i="5"/>
  <c r="H5" i="5"/>
  <c r="H6" i="5"/>
  <c r="H7" i="5"/>
  <c r="H8" i="5"/>
  <c r="H9" i="5"/>
  <c r="H3" i="5"/>
  <c r="E5" i="5"/>
  <c r="E6" i="5" s="1"/>
  <c r="E7" i="5" s="1"/>
  <c r="E8" i="5" s="1"/>
  <c r="E9" i="5" s="1"/>
  <c r="E4" i="5"/>
  <c r="G4" i="5"/>
  <c r="G5" i="5"/>
  <c r="G6" i="5"/>
  <c r="G7" i="5"/>
  <c r="G8" i="5"/>
  <c r="G9" i="5"/>
  <c r="G3" i="5"/>
  <c r="I4" i="1"/>
  <c r="E4" i="4"/>
  <c r="D4" i="4"/>
  <c r="C4" i="4"/>
  <c r="E10" i="3"/>
  <c r="F10" i="3"/>
  <c r="G10" i="3"/>
  <c r="D10" i="3"/>
  <c r="E9" i="3"/>
  <c r="F9" i="3"/>
  <c r="G9" i="3"/>
  <c r="E8" i="3"/>
  <c r="F8" i="3"/>
  <c r="G8" i="3"/>
  <c r="D8" i="3"/>
  <c r="E7" i="3"/>
  <c r="F7" i="3"/>
  <c r="G7" i="3"/>
  <c r="D7" i="3"/>
  <c r="E6" i="3"/>
  <c r="F6" i="3"/>
  <c r="G6" i="3"/>
  <c r="D6" i="3"/>
  <c r="B8" i="2"/>
  <c r="C7" i="2"/>
  <c r="B7" i="2"/>
  <c r="C6" i="2"/>
  <c r="C8" i="2" s="1"/>
  <c r="D8" i="2" s="1"/>
  <c r="B6" i="2"/>
  <c r="J9" i="10" l="1"/>
  <c r="F11" i="10"/>
  <c r="J10" i="10"/>
  <c r="K10" i="10" s="1"/>
  <c r="F4" i="7"/>
  <c r="I3" i="7"/>
  <c r="J3" i="7" s="1"/>
  <c r="J4" i="1"/>
  <c r="G4" i="1"/>
  <c r="M4" i="1"/>
  <c r="M5" i="1" s="1"/>
  <c r="M6" i="1" s="1"/>
  <c r="M7" i="1" s="1"/>
  <c r="M8" i="1" s="1"/>
  <c r="L5" i="1"/>
  <c r="L6" i="1"/>
  <c r="L7" i="1"/>
  <c r="L8" i="1"/>
  <c r="I6" i="1"/>
  <c r="I7" i="1" s="1"/>
  <c r="I8" i="1" s="1"/>
  <c r="F5" i="1"/>
  <c r="G5" i="1"/>
  <c r="F6" i="1"/>
  <c r="G6" i="1"/>
  <c r="F7" i="1"/>
  <c r="G7" i="1"/>
  <c r="F8" i="1"/>
  <c r="G8" i="1"/>
  <c r="F4" i="1"/>
  <c r="J11" i="10" l="1"/>
  <c r="K11" i="10" s="1"/>
  <c r="F12" i="10"/>
  <c r="K9" i="10"/>
  <c r="F5" i="7"/>
  <c r="I4" i="7"/>
  <c r="J4" i="7" s="1"/>
  <c r="J5" i="1"/>
  <c r="J6" i="1" s="1"/>
  <c r="J7" i="1" s="1"/>
  <c r="J8" i="1" s="1"/>
  <c r="F13" i="10" l="1"/>
  <c r="J13" i="10" s="1"/>
  <c r="K13" i="10" s="1"/>
  <c r="I5" i="7"/>
  <c r="J5" i="7" s="1"/>
  <c r="F6" i="7"/>
  <c r="J12" i="10" l="1"/>
  <c r="I14" i="10"/>
  <c r="I15" i="10"/>
  <c r="F7" i="7"/>
  <c r="I6" i="7"/>
  <c r="J6" i="7" s="1"/>
  <c r="J14" i="10" l="1"/>
  <c r="K12" i="10"/>
  <c r="K14" i="10" s="1"/>
  <c r="J15" i="10"/>
  <c r="I17" i="10" s="1"/>
  <c r="F8" i="7"/>
  <c r="I7" i="7"/>
  <c r="J7" i="7" s="1"/>
  <c r="F9" i="7" l="1"/>
  <c r="I8" i="7"/>
  <c r="J8" i="7" s="1"/>
  <c r="F10" i="7" l="1"/>
  <c r="I9" i="7"/>
  <c r="J9" i="7" s="1"/>
  <c r="F11" i="7" l="1"/>
  <c r="I10" i="7"/>
  <c r="J10" i="7" s="1"/>
  <c r="I11" i="7" l="1"/>
  <c r="J11" i="7" s="1"/>
</calcChain>
</file>

<file path=xl/sharedStrings.xml><?xml version="1.0" encoding="utf-8"?>
<sst xmlns="http://schemas.openxmlformats.org/spreadsheetml/2006/main" count="90" uniqueCount="62">
  <si>
    <t>Equipment Cost</t>
  </si>
  <si>
    <t>Service Life</t>
  </si>
  <si>
    <t>5 years</t>
  </si>
  <si>
    <t>Salvage</t>
  </si>
  <si>
    <t>Straight Line</t>
  </si>
  <si>
    <t>MACRS</t>
  </si>
  <si>
    <t>Sum of the Digits</t>
  </si>
  <si>
    <t>Year</t>
  </si>
  <si>
    <t>Depreication Allowance</t>
  </si>
  <si>
    <t>Year-End value</t>
  </si>
  <si>
    <t>Pump A</t>
  </si>
  <si>
    <t>Pump B</t>
  </si>
  <si>
    <t>Cost</t>
  </si>
  <si>
    <t>Ac</t>
  </si>
  <si>
    <t>As</t>
  </si>
  <si>
    <t>Atot</t>
  </si>
  <si>
    <t>i</t>
  </si>
  <si>
    <t>n</t>
  </si>
  <si>
    <t>Error Sq</t>
  </si>
  <si>
    <t>kJ/s saved</t>
  </si>
  <si>
    <t>0.025 m</t>
  </si>
  <si>
    <t>0.051 m</t>
  </si>
  <si>
    <t>0.076 m</t>
  </si>
  <si>
    <t>0.102 m</t>
  </si>
  <si>
    <t>Installlation Cost</t>
  </si>
  <si>
    <t>Annual fixed cost, as % of install cost</t>
  </si>
  <si>
    <t>Money saved</t>
  </si>
  <si>
    <t>price energy</t>
  </si>
  <si>
    <t>prices</t>
  </si>
  <si>
    <t>Fixed Cost Annual</t>
  </si>
  <si>
    <t>Net Savings</t>
  </si>
  <si>
    <t>Net savings after tax</t>
  </si>
  <si>
    <t>Investment return</t>
  </si>
  <si>
    <t>FCI</t>
  </si>
  <si>
    <t>Post-tax total costs</t>
  </si>
  <si>
    <t>Return on Investment</t>
  </si>
  <si>
    <t>year</t>
  </si>
  <si>
    <t>annual revenue</t>
  </si>
  <si>
    <t>Annual Operating Expenses (excluding depreciation)</t>
  </si>
  <si>
    <t>Plant Value</t>
  </si>
  <si>
    <t>Depreciation</t>
  </si>
  <si>
    <t>Cash Flow</t>
  </si>
  <si>
    <t>Cash Flow Tax</t>
  </si>
  <si>
    <t>Capacity</t>
  </si>
  <si>
    <t>Operating Expenses</t>
  </si>
  <si>
    <t>Payoff annually</t>
  </si>
  <si>
    <t>Sales</t>
  </si>
  <si>
    <t>Net Profit</t>
  </si>
  <si>
    <t>Sum</t>
  </si>
  <si>
    <t>Average</t>
  </si>
  <si>
    <t>ROI</t>
  </si>
  <si>
    <t>PBP</t>
  </si>
  <si>
    <t>1D4</t>
  </si>
  <si>
    <t>6D20</t>
  </si>
  <si>
    <t>Discounted Cash Flow Rate of return</t>
  </si>
  <si>
    <t>Net Present Worth</t>
  </si>
  <si>
    <t>Total Earnings</t>
  </si>
  <si>
    <t>Insulation</t>
  </si>
  <si>
    <t>Present Value</t>
  </si>
  <si>
    <t>Value of Plant</t>
  </si>
  <si>
    <t>Depre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</si>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</sst>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0" xfId="0" applyFill="1"/>
    <xf numFmtId="3" fontId="0" fillId="0" borderId="0" xfId="0" applyNumberFormat="1"/>
    <xf numFmtId="10" fontId="0" fillId="0" borderId="0" xfId="0" applyNumberFormat="1"/>
    <xf numFmtId="0" fontId="3" fillId="0" borderId="0" xfId="0" applyFont="1" applyAlignment="1">
      <alignment wrapText="1"/>
    </xf>
    <xf numFmtId="0" fontId="3" fillId="0" borderId="1" xfId="0" applyFont="1" applyBorder="1"/>
    <xf numFmtId="0" fontId="0" fillId="0" borderId="1" xfId="0" applyBorder="1"/>
    <xf numFmtId="10" fontId="1" fillId="2" borderId="0" xfId="0" applyNumberFormat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Fill="1" applyBorder="1"/>
    <xf numFmtId="0" fontId="2" fillId="0" borderId="2" xfId="0" applyFont="1" applyBorder="1" applyAlignment="1">
      <alignment horizontal="right"/>
    </xf>
    <xf numFmtId="0" fontId="0" fillId="0" borderId="3" xfId="0" applyFill="1" applyBorder="1"/>
    <xf numFmtId="0" fontId="0" fillId="0" borderId="4" xfId="0" applyFill="1" applyBorder="1"/>
    <xf numFmtId="0" fontId="2" fillId="0" borderId="5" xfId="0" applyFont="1" applyBorder="1" applyAlignment="1">
      <alignment horizontal="right"/>
    </xf>
    <xf numFmtId="0" fontId="0" fillId="0" borderId="6" xfId="0" applyFill="1" applyBorder="1"/>
    <xf numFmtId="10" fontId="0" fillId="0" borderId="0" xfId="0" applyNumberFormat="1" applyBorder="1"/>
    <xf numFmtId="0" fontId="0" fillId="0" borderId="6" xfId="0" applyBorder="1"/>
    <xf numFmtId="0" fontId="2" fillId="0" borderId="7" xfId="0" applyFont="1" applyBorder="1" applyAlignment="1">
      <alignment horizontal="right"/>
    </xf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5E30-9DBA-4BE8-8239-12307AEA8011}">
  <dimension ref="B1:M8"/>
  <sheetViews>
    <sheetView topLeftCell="F1" workbookViewId="0">
      <selection activeCell="I16" sqref="I16"/>
    </sheetView>
  </sheetViews>
  <sheetFormatPr defaultRowHeight="14.4" x14ac:dyDescent="0.3"/>
  <cols>
    <col min="1" max="1" width="1" customWidth="1"/>
    <col min="2" max="2" width="16.6640625" customWidth="1"/>
    <col min="6" max="6" width="20.5546875" bestFit="1" customWidth="1"/>
    <col min="7" max="7" width="15.109375" customWidth="1"/>
    <col min="9" max="9" width="20.5546875" bestFit="1" customWidth="1"/>
    <col min="10" max="10" width="13.33203125" bestFit="1" customWidth="1"/>
    <col min="12" max="12" width="20.5546875" bestFit="1" customWidth="1"/>
    <col min="13" max="13" width="13.33203125" bestFit="1" customWidth="1"/>
  </cols>
  <sheetData>
    <row r="1" spans="2:13" ht="6" customHeight="1" x14ac:dyDescent="0.3"/>
    <row r="2" spans="2:13" x14ac:dyDescent="0.3">
      <c r="B2" t="s">
        <v>0</v>
      </c>
      <c r="C2">
        <v>35000</v>
      </c>
      <c r="E2" s="32" t="s">
        <v>4</v>
      </c>
      <c r="F2" s="32"/>
      <c r="G2" s="32"/>
      <c r="H2" s="32" t="s">
        <v>5</v>
      </c>
      <c r="I2" s="32"/>
      <c r="J2" s="32"/>
      <c r="K2" s="32" t="s">
        <v>6</v>
      </c>
      <c r="L2" s="32"/>
      <c r="M2" s="32"/>
    </row>
    <row r="3" spans="2:13" x14ac:dyDescent="0.3">
      <c r="B3" t="s">
        <v>1</v>
      </c>
      <c r="C3" t="s">
        <v>2</v>
      </c>
      <c r="E3" t="s">
        <v>7</v>
      </c>
      <c r="F3" t="s">
        <v>8</v>
      </c>
      <c r="G3" t="s">
        <v>9</v>
      </c>
      <c r="H3" t="s">
        <v>7</v>
      </c>
      <c r="I3" t="s">
        <v>8</v>
      </c>
      <c r="J3" t="s">
        <v>9</v>
      </c>
      <c r="K3" t="s">
        <v>7</v>
      </c>
      <c r="L3" t="s">
        <v>8</v>
      </c>
      <c r="M3" t="s">
        <v>9</v>
      </c>
    </row>
    <row r="4" spans="2:13" x14ac:dyDescent="0.3">
      <c r="B4" t="s">
        <v>3</v>
      </c>
      <c r="C4">
        <v>5000</v>
      </c>
      <c r="E4">
        <v>1</v>
      </c>
      <c r="F4">
        <f>E4*6000</f>
        <v>6000</v>
      </c>
      <c r="G4">
        <f>$C$2-F4</f>
        <v>29000</v>
      </c>
      <c r="H4">
        <v>1</v>
      </c>
      <c r="I4">
        <f>C2*(1/5)</f>
        <v>7000</v>
      </c>
      <c r="J4">
        <f>$C$2-I4</f>
        <v>28000</v>
      </c>
      <c r="K4">
        <v>1</v>
      </c>
      <c r="L4">
        <f>((5-K4+1)/SUM($K$4:$K$8))*($C$2-$C$4)</f>
        <v>10000</v>
      </c>
      <c r="M4">
        <f>$C$2-L4</f>
        <v>25000</v>
      </c>
    </row>
    <row r="5" spans="2:13" x14ac:dyDescent="0.3">
      <c r="E5">
        <v>2</v>
      </c>
      <c r="F5">
        <f t="shared" ref="F5:F8" si="0">E5*6000</f>
        <v>12000</v>
      </c>
      <c r="G5">
        <f t="shared" ref="G5:G8" si="1">$C$2-F5</f>
        <v>23000</v>
      </c>
      <c r="H5">
        <v>2</v>
      </c>
      <c r="I5">
        <f>($C$2-I4)*(1/5)*1</f>
        <v>5600</v>
      </c>
      <c r="J5">
        <f>J4-I5</f>
        <v>22400</v>
      </c>
      <c r="K5">
        <v>2</v>
      </c>
      <c r="L5">
        <f t="shared" ref="L5:L8" si="2">((5-K5+1)/SUM($K$4:$K$8))*($C$2-$C$4)</f>
        <v>8000</v>
      </c>
      <c r="M5">
        <f>M4-L5</f>
        <v>17000</v>
      </c>
    </row>
    <row r="6" spans="2:13" x14ac:dyDescent="0.3">
      <c r="E6">
        <v>3</v>
      </c>
      <c r="F6">
        <f t="shared" si="0"/>
        <v>18000</v>
      </c>
      <c r="G6">
        <f t="shared" si="1"/>
        <v>17000</v>
      </c>
      <c r="H6">
        <v>3</v>
      </c>
      <c r="I6">
        <f t="shared" ref="I6:I8" si="3">($C$2-I5)*(1/5)*1</f>
        <v>5880</v>
      </c>
      <c r="J6">
        <f t="shared" ref="J6:J8" si="4">J5-I6</f>
        <v>16520</v>
      </c>
      <c r="K6">
        <v>3</v>
      </c>
      <c r="L6">
        <f t="shared" si="2"/>
        <v>6000</v>
      </c>
      <c r="M6">
        <f t="shared" ref="M6:M8" si="5">M5-L6</f>
        <v>11000</v>
      </c>
    </row>
    <row r="7" spans="2:13" x14ac:dyDescent="0.3">
      <c r="E7">
        <v>4</v>
      </c>
      <c r="F7">
        <f t="shared" si="0"/>
        <v>24000</v>
      </c>
      <c r="G7">
        <f t="shared" si="1"/>
        <v>11000</v>
      </c>
      <c r="H7">
        <v>4</v>
      </c>
      <c r="I7">
        <f t="shared" si="3"/>
        <v>5824</v>
      </c>
      <c r="J7">
        <f t="shared" si="4"/>
        <v>10696</v>
      </c>
      <c r="K7">
        <v>4</v>
      </c>
      <c r="L7">
        <f t="shared" si="2"/>
        <v>4000</v>
      </c>
      <c r="M7">
        <f t="shared" si="5"/>
        <v>7000</v>
      </c>
    </row>
    <row r="8" spans="2:13" x14ac:dyDescent="0.3">
      <c r="E8">
        <v>5</v>
      </c>
      <c r="F8">
        <f t="shared" si="0"/>
        <v>30000</v>
      </c>
      <c r="G8">
        <f t="shared" si="1"/>
        <v>5000</v>
      </c>
      <c r="H8">
        <v>5</v>
      </c>
      <c r="I8">
        <f t="shared" si="3"/>
        <v>5835.2000000000007</v>
      </c>
      <c r="J8">
        <f t="shared" si="4"/>
        <v>4860.7999999999993</v>
      </c>
      <c r="K8">
        <v>5</v>
      </c>
      <c r="L8">
        <f t="shared" si="2"/>
        <v>2000</v>
      </c>
      <c r="M8">
        <f t="shared" si="5"/>
        <v>5000</v>
      </c>
    </row>
  </sheetData>
  <mergeCells count="3">
    <mergeCell ref="E2:G2"/>
    <mergeCell ref="H2:J2"/>
    <mergeCell ref="K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F37B-B90B-483F-A092-FA4B9DE8B4FD}">
  <dimension ref="A1:D8"/>
  <sheetViews>
    <sheetView workbookViewId="0">
      <selection sqref="A1:D8"/>
    </sheetView>
  </sheetViews>
  <sheetFormatPr defaultRowHeight="14.4" x14ac:dyDescent="0.3"/>
  <sheetData>
    <row r="1" spans="1:4" x14ac:dyDescent="0.3">
      <c r="B1" s="3" t="s">
        <v>10</v>
      </c>
      <c r="C1" s="3" t="s">
        <v>11</v>
      </c>
    </row>
    <row r="2" spans="1:4" x14ac:dyDescent="0.3">
      <c r="A2" s="4" t="s">
        <v>12</v>
      </c>
      <c r="B2">
        <v>20000</v>
      </c>
      <c r="C2">
        <v>25000</v>
      </c>
    </row>
    <row r="3" spans="1:4" x14ac:dyDescent="0.3">
      <c r="A3" s="4" t="s">
        <v>3</v>
      </c>
      <c r="B3">
        <v>2000</v>
      </c>
      <c r="C3">
        <v>4000</v>
      </c>
    </row>
    <row r="4" spans="1:4" x14ac:dyDescent="0.3">
      <c r="A4" s="4" t="s">
        <v>16</v>
      </c>
      <c r="B4">
        <v>0.15</v>
      </c>
      <c r="C4">
        <v>0.15</v>
      </c>
    </row>
    <row r="5" spans="1:4" x14ac:dyDescent="0.3">
      <c r="A5" s="4" t="s">
        <v>17</v>
      </c>
      <c r="B5">
        <v>4</v>
      </c>
      <c r="C5" s="5">
        <v>5.3202016112341681</v>
      </c>
    </row>
    <row r="6" spans="1:4" x14ac:dyDescent="0.3">
      <c r="A6" t="s">
        <v>13</v>
      </c>
      <c r="B6">
        <f>B2*((B4*(1+B4)^B5)/((1+B4)^B5-1))</f>
        <v>7005.3070318171594</v>
      </c>
      <c r="C6">
        <f>C2*((C4*(1+C4)^C5)/((1+C4)^C5-1))</f>
        <v>7148.5432483755276</v>
      </c>
    </row>
    <row r="7" spans="1:4" x14ac:dyDescent="0.3">
      <c r="A7" t="s">
        <v>14</v>
      </c>
      <c r="B7">
        <f>B3*(B4)/((1+B4)^B5-1)</f>
        <v>400.53070318171609</v>
      </c>
      <c r="C7">
        <f>C3*(C4)/((1+C4)^C5-1)</f>
        <v>543.7669197400844</v>
      </c>
      <c r="D7" s="3" t="s">
        <v>18</v>
      </c>
    </row>
    <row r="8" spans="1:4" x14ac:dyDescent="0.3">
      <c r="A8" t="s">
        <v>15</v>
      </c>
      <c r="B8">
        <f>B6-B7</f>
        <v>6604.776328635443</v>
      </c>
      <c r="C8">
        <f>C6-C7</f>
        <v>6604.776328635443</v>
      </c>
      <c r="D8">
        <f>(B8-C8)^2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3DA40-53A1-4B0C-A8D2-B68C9E5A6634}">
  <dimension ref="A1:G10"/>
  <sheetViews>
    <sheetView workbookViewId="0">
      <selection activeCell="C1" sqref="C1:G10"/>
    </sheetView>
  </sheetViews>
  <sheetFormatPr defaultRowHeight="14.4" x14ac:dyDescent="0.3"/>
  <cols>
    <col min="1" max="1" width="12" bestFit="1" customWidth="1"/>
    <col min="2" max="2" width="10.33203125" customWidth="1"/>
    <col min="3" max="3" width="18.6640625" bestFit="1" customWidth="1"/>
  </cols>
  <sheetData>
    <row r="1" spans="1:7" x14ac:dyDescent="0.3">
      <c r="A1" s="32" t="s">
        <v>28</v>
      </c>
      <c r="B1" s="32"/>
      <c r="C1" s="33" t="s">
        <v>57</v>
      </c>
      <c r="D1" s="33"/>
      <c r="E1" s="33"/>
      <c r="F1" s="33"/>
      <c r="G1" s="33"/>
    </row>
    <row r="2" spans="1:7" x14ac:dyDescent="0.3">
      <c r="A2" t="s">
        <v>27</v>
      </c>
      <c r="B2">
        <v>1.5E-6</v>
      </c>
      <c r="D2" s="3" t="s">
        <v>20</v>
      </c>
      <c r="E2" s="3" t="s">
        <v>21</v>
      </c>
      <c r="F2" s="3" t="s">
        <v>22</v>
      </c>
      <c r="G2" s="3" t="s">
        <v>23</v>
      </c>
    </row>
    <row r="3" spans="1:7" x14ac:dyDescent="0.3">
      <c r="C3" s="4" t="s">
        <v>19</v>
      </c>
      <c r="D3">
        <v>88</v>
      </c>
      <c r="E3">
        <v>102</v>
      </c>
      <c r="F3">
        <v>108</v>
      </c>
      <c r="G3">
        <v>111</v>
      </c>
    </row>
    <row r="4" spans="1:7" x14ac:dyDescent="0.3">
      <c r="C4" s="4" t="s">
        <v>24</v>
      </c>
      <c r="D4">
        <v>8000</v>
      </c>
      <c r="E4" s="6">
        <v>10100</v>
      </c>
      <c r="F4" s="6">
        <v>11100</v>
      </c>
      <c r="G4" s="6">
        <v>11500</v>
      </c>
    </row>
    <row r="5" spans="1:7" ht="28.8" x14ac:dyDescent="0.3">
      <c r="C5" s="8" t="s">
        <v>25</v>
      </c>
      <c r="D5" s="7">
        <v>0.1</v>
      </c>
      <c r="E5" s="7">
        <v>0.1</v>
      </c>
      <c r="F5" s="7">
        <v>0.1</v>
      </c>
      <c r="G5" s="7">
        <v>0.1</v>
      </c>
    </row>
    <row r="6" spans="1:7" x14ac:dyDescent="0.3">
      <c r="C6" s="4" t="s">
        <v>29</v>
      </c>
      <c r="D6">
        <f>D4*D5</f>
        <v>800</v>
      </c>
      <c r="E6">
        <f t="shared" ref="E6:G6" si="0">E4*E5</f>
        <v>1010</v>
      </c>
      <c r="F6">
        <f t="shared" si="0"/>
        <v>1110</v>
      </c>
      <c r="G6">
        <f t="shared" si="0"/>
        <v>1150</v>
      </c>
    </row>
    <row r="7" spans="1:7" x14ac:dyDescent="0.3">
      <c r="C7" s="4" t="s">
        <v>26</v>
      </c>
      <c r="D7">
        <f>D3*$B$2*60*60*24*300</f>
        <v>3421.44</v>
      </c>
      <c r="E7">
        <f t="shared" ref="E7:G7" si="1">E3*$B$2*60*60*24*300</f>
        <v>3965.76</v>
      </c>
      <c r="F7">
        <f t="shared" si="1"/>
        <v>4199.04</v>
      </c>
      <c r="G7">
        <f t="shared" si="1"/>
        <v>4315.68</v>
      </c>
    </row>
    <row r="8" spans="1:7" x14ac:dyDescent="0.3">
      <c r="C8" s="4" t="s">
        <v>30</v>
      </c>
      <c r="D8">
        <f>D7-D6</f>
        <v>2621.44</v>
      </c>
      <c r="E8">
        <f t="shared" ref="E8:G8" si="2">E7-E6</f>
        <v>2955.76</v>
      </c>
      <c r="F8">
        <f t="shared" si="2"/>
        <v>3089.04</v>
      </c>
      <c r="G8">
        <f t="shared" si="2"/>
        <v>3165.6800000000003</v>
      </c>
    </row>
    <row r="9" spans="1:7" x14ac:dyDescent="0.3">
      <c r="C9" s="9" t="s">
        <v>31</v>
      </c>
      <c r="D9" s="10">
        <f>D8*0.65</f>
        <v>1703.9360000000001</v>
      </c>
      <c r="E9" s="10">
        <f t="shared" ref="E9:G9" si="3">E8*0.65</f>
        <v>1921.2440000000001</v>
      </c>
      <c r="F9" s="10">
        <f t="shared" si="3"/>
        <v>2007.876</v>
      </c>
      <c r="G9" s="10">
        <f t="shared" si="3"/>
        <v>2057.6920000000005</v>
      </c>
    </row>
    <row r="10" spans="1:7" x14ac:dyDescent="0.3">
      <c r="C10" s="4" t="s">
        <v>32</v>
      </c>
      <c r="D10" s="11">
        <f>D9/D4</f>
        <v>0.21299200000000001</v>
      </c>
      <c r="E10" s="7">
        <f t="shared" ref="E10:G10" si="4">E9/E4</f>
        <v>0.19022217821782181</v>
      </c>
      <c r="F10" s="7">
        <f t="shared" si="4"/>
        <v>0.18088972972972972</v>
      </c>
      <c r="G10" s="7">
        <f t="shared" si="4"/>
        <v>0.17892973913043483</v>
      </c>
    </row>
  </sheetData>
  <mergeCells count="2">
    <mergeCell ref="A1:B1"/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ED78-351D-486C-9F63-8E6F7F805CE5}">
  <dimension ref="A1:E4"/>
  <sheetViews>
    <sheetView workbookViewId="0">
      <selection sqref="A1:E4"/>
    </sheetView>
  </sheetViews>
  <sheetFormatPr defaultRowHeight="14.4" x14ac:dyDescent="0.3"/>
  <cols>
    <col min="1" max="1" width="20.5546875" bestFit="1" customWidth="1"/>
  </cols>
  <sheetData>
    <row r="1" spans="1:5" x14ac:dyDescent="0.3">
      <c r="B1">
        <v>1</v>
      </c>
      <c r="C1">
        <v>2</v>
      </c>
      <c r="D1">
        <v>3</v>
      </c>
      <c r="E1">
        <v>4</v>
      </c>
    </row>
    <row r="2" spans="1:5" x14ac:dyDescent="0.3">
      <c r="A2" t="s">
        <v>33</v>
      </c>
      <c r="B2" s="6">
        <v>10000</v>
      </c>
      <c r="C2" s="6">
        <v>12000</v>
      </c>
      <c r="D2" s="6">
        <v>14000</v>
      </c>
      <c r="E2" s="6">
        <v>16000</v>
      </c>
    </row>
    <row r="3" spans="1:5" x14ac:dyDescent="0.3">
      <c r="A3" t="s">
        <v>34</v>
      </c>
      <c r="B3" s="6">
        <v>3000</v>
      </c>
      <c r="C3" s="6">
        <v>2800</v>
      </c>
      <c r="D3" s="6">
        <v>2350</v>
      </c>
      <c r="E3" s="6">
        <v>2100</v>
      </c>
    </row>
    <row r="4" spans="1:5" x14ac:dyDescent="0.3">
      <c r="A4" t="s">
        <v>35</v>
      </c>
      <c r="C4">
        <f>(B3-C3)/(C2-B2)</f>
        <v>0.1</v>
      </c>
      <c r="D4">
        <f>(B3-D3)/(D2-B2)</f>
        <v>0.16250000000000001</v>
      </c>
      <c r="E4">
        <f>(D3-E3)/(E2-D2)</f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777E-9C7B-411A-8986-78686DB39C79}">
  <dimension ref="B2:I9"/>
  <sheetViews>
    <sheetView workbookViewId="0">
      <selection activeCell="A9" sqref="A9"/>
    </sheetView>
  </sheetViews>
  <sheetFormatPr defaultRowHeight="14.4" x14ac:dyDescent="0.3"/>
  <cols>
    <col min="3" max="3" width="15" bestFit="1" customWidth="1"/>
    <col min="4" max="4" width="23.33203125" bestFit="1" customWidth="1"/>
    <col min="5" max="5" width="11.109375" bestFit="1" customWidth="1"/>
    <col min="6" max="6" width="11.44140625" bestFit="1" customWidth="1"/>
    <col min="7" max="7" width="11.6640625" customWidth="1"/>
    <col min="8" max="8" width="12" customWidth="1"/>
    <col min="9" max="9" width="15.5546875" customWidth="1"/>
  </cols>
  <sheetData>
    <row r="2" spans="2:9" ht="28.8" x14ac:dyDescent="0.3">
      <c r="B2" s="12" t="s">
        <v>36</v>
      </c>
      <c r="C2" s="12" t="s">
        <v>37</v>
      </c>
      <c r="D2" s="13" t="s">
        <v>38</v>
      </c>
      <c r="E2" t="s">
        <v>39</v>
      </c>
      <c r="F2" s="30" t="s">
        <v>5</v>
      </c>
      <c r="G2" s="30" t="s">
        <v>40</v>
      </c>
      <c r="H2" t="s">
        <v>41</v>
      </c>
      <c r="I2" t="s">
        <v>42</v>
      </c>
    </row>
    <row r="3" spans="2:9" x14ac:dyDescent="0.3">
      <c r="B3" s="1">
        <v>1</v>
      </c>
      <c r="C3" s="1">
        <v>7</v>
      </c>
      <c r="D3" s="1">
        <v>4</v>
      </c>
      <c r="E3" s="1">
        <v>50</v>
      </c>
      <c r="F3" s="1">
        <v>0</v>
      </c>
      <c r="G3" s="1">
        <f>F4*$E$3</f>
        <v>10</v>
      </c>
      <c r="H3">
        <f>C3-D3-G3</f>
        <v>-7</v>
      </c>
      <c r="I3">
        <f>IF(H3&lt;0,0,H3*0.35)</f>
        <v>0</v>
      </c>
    </row>
    <row r="4" spans="2:9" x14ac:dyDescent="0.3">
      <c r="B4" s="1">
        <v>2</v>
      </c>
      <c r="C4" s="1">
        <v>10</v>
      </c>
      <c r="D4" s="1">
        <v>5.6</v>
      </c>
      <c r="E4">
        <f>E3-G3</f>
        <v>40</v>
      </c>
      <c r="F4" s="1">
        <v>0.2</v>
      </c>
      <c r="G4" s="1">
        <f t="shared" ref="G4:G9" si="0">F5*$E$3</f>
        <v>16</v>
      </c>
      <c r="H4">
        <f t="shared" ref="H4:H9" si="1">C4-D4-G4</f>
        <v>-11.6</v>
      </c>
      <c r="I4">
        <f t="shared" ref="I4:I9" si="2">IF(H4&lt;0,0,H4*0.35)</f>
        <v>0</v>
      </c>
    </row>
    <row r="5" spans="2:9" x14ac:dyDescent="0.3">
      <c r="B5" s="1">
        <v>3</v>
      </c>
      <c r="C5" s="1">
        <v>15</v>
      </c>
      <c r="D5" s="1">
        <v>6.8</v>
      </c>
      <c r="E5">
        <f t="shared" ref="E5:E9" si="3">E4-G4</f>
        <v>24</v>
      </c>
      <c r="F5" s="1">
        <v>0.32</v>
      </c>
      <c r="G5" s="1">
        <f t="shared" si="0"/>
        <v>9.6</v>
      </c>
      <c r="H5">
        <f t="shared" si="1"/>
        <v>-1.4000000000000004</v>
      </c>
      <c r="I5">
        <f t="shared" si="2"/>
        <v>0</v>
      </c>
    </row>
    <row r="6" spans="2:9" x14ac:dyDescent="0.3">
      <c r="B6" s="1">
        <v>4</v>
      </c>
      <c r="C6" s="1">
        <v>20</v>
      </c>
      <c r="D6" s="1">
        <v>7.8</v>
      </c>
      <c r="E6">
        <f t="shared" si="3"/>
        <v>14.4</v>
      </c>
      <c r="F6" s="1">
        <v>0.192</v>
      </c>
      <c r="G6" s="1">
        <f t="shared" si="0"/>
        <v>5.76</v>
      </c>
      <c r="H6">
        <f t="shared" si="1"/>
        <v>6.4399999999999995</v>
      </c>
      <c r="I6">
        <f t="shared" si="2"/>
        <v>2.2539999999999996</v>
      </c>
    </row>
    <row r="7" spans="2:9" x14ac:dyDescent="0.3">
      <c r="B7" s="1">
        <v>5</v>
      </c>
      <c r="C7" s="1">
        <v>22.5</v>
      </c>
      <c r="D7" s="1">
        <v>8.8000000000000007</v>
      </c>
      <c r="E7">
        <f t="shared" si="3"/>
        <v>8.64</v>
      </c>
      <c r="F7" s="1">
        <v>0.1152</v>
      </c>
      <c r="G7" s="1">
        <f t="shared" si="0"/>
        <v>5.76</v>
      </c>
      <c r="H7">
        <f t="shared" si="1"/>
        <v>7.9399999999999995</v>
      </c>
      <c r="I7">
        <f t="shared" si="2"/>
        <v>2.7789999999999995</v>
      </c>
    </row>
    <row r="8" spans="2:9" x14ac:dyDescent="0.3">
      <c r="B8" s="1">
        <v>6</v>
      </c>
      <c r="C8" s="1">
        <v>24</v>
      </c>
      <c r="D8" s="1">
        <v>9.6</v>
      </c>
      <c r="E8">
        <f t="shared" si="3"/>
        <v>2.8800000000000008</v>
      </c>
      <c r="F8" s="1">
        <v>0.1152</v>
      </c>
      <c r="G8" s="1">
        <f t="shared" si="0"/>
        <v>2.88</v>
      </c>
      <c r="H8">
        <f t="shared" si="1"/>
        <v>11.52</v>
      </c>
      <c r="I8">
        <f t="shared" si="2"/>
        <v>4.032</v>
      </c>
    </row>
    <row r="9" spans="2:9" x14ac:dyDescent="0.3">
      <c r="B9" s="1">
        <v>7</v>
      </c>
      <c r="C9" s="1">
        <v>25</v>
      </c>
      <c r="D9" s="1">
        <v>10</v>
      </c>
      <c r="E9">
        <f t="shared" si="3"/>
        <v>0</v>
      </c>
      <c r="F9" s="1">
        <v>5.7599999999999998E-2</v>
      </c>
      <c r="G9" s="1">
        <f t="shared" si="0"/>
        <v>0</v>
      </c>
      <c r="H9">
        <f t="shared" si="1"/>
        <v>15</v>
      </c>
      <c r="I9">
        <f t="shared" si="2"/>
        <v>5.25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D80-20B2-4A14-BDB7-C5A66901E699}">
  <dimension ref="A1:F25"/>
  <sheetViews>
    <sheetView workbookViewId="0">
      <selection activeCell="G11" sqref="G11"/>
    </sheetView>
  </sheetViews>
  <sheetFormatPr defaultRowHeight="14.4" x14ac:dyDescent="0.3"/>
  <cols>
    <col min="2" max="2" width="13.44140625" customWidth="1"/>
    <col min="3" max="3" width="13.33203125" customWidth="1"/>
    <col min="5" max="5" width="16" customWidth="1"/>
  </cols>
  <sheetData>
    <row r="1" spans="1:6" ht="12" customHeight="1" x14ac:dyDescent="0.3"/>
    <row r="2" spans="1:6" ht="43.2" x14ac:dyDescent="0.3">
      <c r="A2" s="12">
        <v>0</v>
      </c>
      <c r="B2" s="12" t="s">
        <v>52</v>
      </c>
      <c r="C2" s="12">
        <v>5</v>
      </c>
      <c r="D2" s="12" t="s">
        <v>53</v>
      </c>
      <c r="E2" s="13" t="s">
        <v>54</v>
      </c>
      <c r="F2" s="13" t="s">
        <v>55</v>
      </c>
    </row>
    <row r="3" spans="1:6" x14ac:dyDescent="0.3">
      <c r="A3">
        <v>0</v>
      </c>
      <c r="B3" s="6">
        <v>50000</v>
      </c>
      <c r="C3">
        <v>-650000</v>
      </c>
      <c r="D3">
        <v>100000</v>
      </c>
    </row>
    <row r="5" spans="1:6" x14ac:dyDescent="0.3">
      <c r="A5" t="s">
        <v>36</v>
      </c>
      <c r="B5" t="s">
        <v>41</v>
      </c>
      <c r="C5" t="s">
        <v>56</v>
      </c>
    </row>
    <row r="6" spans="1:6" x14ac:dyDescent="0.3">
      <c r="A6">
        <v>1</v>
      </c>
      <c r="B6">
        <v>50000</v>
      </c>
      <c r="C6">
        <f>B6*(1+0.1)</f>
        <v>55000.000000000007</v>
      </c>
    </row>
    <row r="7" spans="1:6" x14ac:dyDescent="0.3">
      <c r="A7">
        <f>A6+1</f>
        <v>2</v>
      </c>
      <c r="B7">
        <v>50000</v>
      </c>
      <c r="C7">
        <f>(B7+C6)*1.1</f>
        <v>115500.00000000001</v>
      </c>
    </row>
    <row r="8" spans="1:6" x14ac:dyDescent="0.3">
      <c r="A8">
        <f t="shared" ref="A8:A25" si="0">A7+1</f>
        <v>3</v>
      </c>
      <c r="B8">
        <v>50000</v>
      </c>
      <c r="C8">
        <f t="shared" ref="C8:C25" si="1">(B8+C7)*1.1</f>
        <v>182050.00000000003</v>
      </c>
    </row>
    <row r="9" spans="1:6" x14ac:dyDescent="0.3">
      <c r="A9">
        <f t="shared" si="0"/>
        <v>4</v>
      </c>
      <c r="B9">
        <v>50000</v>
      </c>
      <c r="C9">
        <f t="shared" si="1"/>
        <v>255255.00000000006</v>
      </c>
    </row>
    <row r="10" spans="1:6" x14ac:dyDescent="0.3">
      <c r="A10">
        <f t="shared" si="0"/>
        <v>5</v>
      </c>
      <c r="B10">
        <v>-650000</v>
      </c>
      <c r="C10">
        <f t="shared" si="1"/>
        <v>-434219.5</v>
      </c>
    </row>
    <row r="11" spans="1:6" x14ac:dyDescent="0.3">
      <c r="A11">
        <f t="shared" si="0"/>
        <v>6</v>
      </c>
      <c r="B11">
        <v>100000</v>
      </c>
      <c r="C11">
        <f t="shared" si="1"/>
        <v>-367641.45</v>
      </c>
    </row>
    <row r="12" spans="1:6" x14ac:dyDescent="0.3">
      <c r="A12">
        <f t="shared" si="0"/>
        <v>7</v>
      </c>
      <c r="B12">
        <v>100000</v>
      </c>
      <c r="C12">
        <f t="shared" si="1"/>
        <v>-294405.59500000003</v>
      </c>
    </row>
    <row r="13" spans="1:6" x14ac:dyDescent="0.3">
      <c r="A13">
        <f t="shared" si="0"/>
        <v>8</v>
      </c>
      <c r="B13">
        <v>100000</v>
      </c>
      <c r="C13">
        <f t="shared" si="1"/>
        <v>-213846.15450000006</v>
      </c>
    </row>
    <row r="14" spans="1:6" x14ac:dyDescent="0.3">
      <c r="A14">
        <f t="shared" si="0"/>
        <v>9</v>
      </c>
      <c r="B14">
        <v>100000</v>
      </c>
      <c r="C14">
        <f t="shared" si="1"/>
        <v>-125230.76995000007</v>
      </c>
    </row>
    <row r="15" spans="1:6" x14ac:dyDescent="0.3">
      <c r="A15">
        <f t="shared" si="0"/>
        <v>10</v>
      </c>
      <c r="B15">
        <v>100000</v>
      </c>
      <c r="C15">
        <f t="shared" si="1"/>
        <v>-27753.846945000085</v>
      </c>
    </row>
    <row r="16" spans="1:6" x14ac:dyDescent="0.3">
      <c r="A16">
        <f t="shared" si="0"/>
        <v>11</v>
      </c>
      <c r="B16">
        <v>100000</v>
      </c>
      <c r="C16">
        <f t="shared" si="1"/>
        <v>79470.768360499918</v>
      </c>
    </row>
    <row r="17" spans="1:4" x14ac:dyDescent="0.3">
      <c r="A17">
        <f t="shared" si="0"/>
        <v>12</v>
      </c>
      <c r="B17">
        <v>100000</v>
      </c>
      <c r="C17">
        <f t="shared" si="1"/>
        <v>197417.84519654996</v>
      </c>
    </row>
    <row r="18" spans="1:4" x14ac:dyDescent="0.3">
      <c r="A18">
        <f t="shared" si="0"/>
        <v>13</v>
      </c>
      <c r="B18">
        <v>100000</v>
      </c>
      <c r="C18">
        <f t="shared" si="1"/>
        <v>327159.629716205</v>
      </c>
    </row>
    <row r="19" spans="1:4" x14ac:dyDescent="0.3">
      <c r="A19">
        <f t="shared" si="0"/>
        <v>14</v>
      </c>
      <c r="B19">
        <v>100000</v>
      </c>
      <c r="C19">
        <f t="shared" si="1"/>
        <v>469875.59268782556</v>
      </c>
    </row>
    <row r="20" spans="1:4" x14ac:dyDescent="0.3">
      <c r="A20">
        <f>A19+1</f>
        <v>15</v>
      </c>
      <c r="B20">
        <v>100000</v>
      </c>
      <c r="C20">
        <f t="shared" si="1"/>
        <v>626863.15195660817</v>
      </c>
    </row>
    <row r="21" spans="1:4" x14ac:dyDescent="0.3">
      <c r="A21">
        <f t="shared" si="0"/>
        <v>16</v>
      </c>
      <c r="B21">
        <v>100000</v>
      </c>
      <c r="C21">
        <f t="shared" si="1"/>
        <v>799549.46715226909</v>
      </c>
    </row>
    <row r="22" spans="1:4" x14ac:dyDescent="0.3">
      <c r="A22">
        <f t="shared" si="0"/>
        <v>17</v>
      </c>
      <c r="B22">
        <v>100000</v>
      </c>
      <c r="C22">
        <f t="shared" si="1"/>
        <v>989504.41386749607</v>
      </c>
    </row>
    <row r="23" spans="1:4" x14ac:dyDescent="0.3">
      <c r="A23">
        <f>A22+1</f>
        <v>18</v>
      </c>
      <c r="B23">
        <v>100000</v>
      </c>
      <c r="C23">
        <f t="shared" si="1"/>
        <v>1198454.8552542457</v>
      </c>
    </row>
    <row r="24" spans="1:4" x14ac:dyDescent="0.3">
      <c r="A24">
        <f t="shared" si="0"/>
        <v>19</v>
      </c>
      <c r="B24">
        <v>100000</v>
      </c>
      <c r="C24">
        <f t="shared" si="1"/>
        <v>1428300.3407796703</v>
      </c>
    </row>
    <row r="25" spans="1:4" x14ac:dyDescent="0.3">
      <c r="A25">
        <f t="shared" si="0"/>
        <v>20</v>
      </c>
      <c r="B25">
        <v>100000</v>
      </c>
      <c r="C25">
        <f t="shared" si="1"/>
        <v>1681130.3748576373</v>
      </c>
      <c r="D25">
        <f>C25/20</f>
        <v>84056.518742881861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0C2C-B17D-454A-BB96-7849FDCED8D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4A27-501B-4AFE-B940-2DB437FD0EB1}">
  <dimension ref="B1:J15"/>
  <sheetViews>
    <sheetView workbookViewId="0">
      <selection activeCell="J2" sqref="J2"/>
    </sheetView>
  </sheetViews>
  <sheetFormatPr defaultRowHeight="14.4" x14ac:dyDescent="0.3"/>
  <cols>
    <col min="5" max="5" width="13.6640625" bestFit="1" customWidth="1"/>
    <col min="6" max="6" width="13.6640625" customWidth="1"/>
    <col min="8" max="8" width="17.6640625" bestFit="1" customWidth="1"/>
    <col min="9" max="9" width="12.109375" customWidth="1"/>
    <col min="10" max="10" width="11" customWidth="1"/>
  </cols>
  <sheetData>
    <row r="1" spans="2:10" x14ac:dyDescent="0.3">
      <c r="B1" s="16" t="s">
        <v>7</v>
      </c>
      <c r="C1" s="16" t="s">
        <v>33</v>
      </c>
      <c r="D1" s="16" t="s">
        <v>46</v>
      </c>
      <c r="E1" s="16" t="s">
        <v>45</v>
      </c>
      <c r="F1" s="16" t="s">
        <v>40</v>
      </c>
      <c r="G1" s="16" t="s">
        <v>43</v>
      </c>
      <c r="H1" s="16" t="s">
        <v>44</v>
      </c>
      <c r="I1" s="16" t="s">
        <v>47</v>
      </c>
      <c r="J1" s="16" t="s">
        <v>41</v>
      </c>
    </row>
    <row r="2" spans="2:10" x14ac:dyDescent="0.3">
      <c r="B2" s="14">
        <v>1</v>
      </c>
      <c r="C2" s="2">
        <v>33.332999999999998</v>
      </c>
      <c r="D2" s="2">
        <f>G2*150</f>
        <v>75</v>
      </c>
      <c r="E2" s="2">
        <f>C2/10</f>
        <v>3.3332999999999999</v>
      </c>
      <c r="F2" s="2">
        <f>E2</f>
        <v>3.3332999999999999</v>
      </c>
      <c r="G2" s="15">
        <v>0.5</v>
      </c>
      <c r="H2" s="2">
        <v>100</v>
      </c>
      <c r="I2">
        <f>(D2-H2-F2)*(1-0.35)</f>
        <v>-18.416645000000003</v>
      </c>
      <c r="J2">
        <f>I2+F2</f>
        <v>-15.083345000000003</v>
      </c>
    </row>
    <row r="3" spans="2:10" x14ac:dyDescent="0.3">
      <c r="B3" s="14">
        <v>2</v>
      </c>
      <c r="C3" s="2">
        <v>33.332999999999998</v>
      </c>
      <c r="D3" s="2">
        <f t="shared" ref="D3:D11" si="0">G3*150</f>
        <v>112.5</v>
      </c>
      <c r="E3" s="2">
        <f>C3/9</f>
        <v>3.7036666666666664</v>
      </c>
      <c r="F3" s="2">
        <f>E3+F2</f>
        <v>7.0369666666666664</v>
      </c>
      <c r="G3" s="15">
        <v>0.75</v>
      </c>
      <c r="H3" s="2">
        <v>100</v>
      </c>
      <c r="I3">
        <f t="shared" ref="I3:I11" si="1">(D3-H3-F3)*(1-0.35)</f>
        <v>3.5509716666666669</v>
      </c>
      <c r="J3">
        <f t="shared" ref="J3:J12" si="2">I3+F3</f>
        <v>10.587938333333334</v>
      </c>
    </row>
    <row r="4" spans="2:10" x14ac:dyDescent="0.3">
      <c r="B4" s="14">
        <v>3</v>
      </c>
      <c r="C4" s="2">
        <v>33.332999999999998</v>
      </c>
      <c r="D4" s="2">
        <f t="shared" si="0"/>
        <v>150</v>
      </c>
      <c r="E4" s="2">
        <f>C4/8</f>
        <v>4.1666249999999998</v>
      </c>
      <c r="F4" s="2">
        <f>E4+F3</f>
        <v>11.203591666666666</v>
      </c>
      <c r="G4" s="15">
        <v>1</v>
      </c>
      <c r="H4" s="2">
        <v>100</v>
      </c>
      <c r="I4">
        <f t="shared" si="1"/>
        <v>25.217665416666666</v>
      </c>
      <c r="J4">
        <f t="shared" si="2"/>
        <v>36.42125708333333</v>
      </c>
    </row>
    <row r="5" spans="2:10" x14ac:dyDescent="0.3">
      <c r="B5" s="14">
        <v>4</v>
      </c>
      <c r="C5" s="2">
        <v>0</v>
      </c>
      <c r="D5" s="2">
        <f t="shared" si="0"/>
        <v>150</v>
      </c>
      <c r="E5" s="2">
        <f t="shared" ref="E5:E11" si="3">C5/8</f>
        <v>0</v>
      </c>
      <c r="F5" s="2">
        <f t="shared" ref="F5:F11" si="4">E5+F4</f>
        <v>11.203591666666666</v>
      </c>
      <c r="G5" s="15">
        <v>1</v>
      </c>
      <c r="H5" s="2">
        <v>100</v>
      </c>
      <c r="I5">
        <f t="shared" si="1"/>
        <v>25.217665416666666</v>
      </c>
      <c r="J5">
        <f t="shared" si="2"/>
        <v>36.42125708333333</v>
      </c>
    </row>
    <row r="6" spans="2:10" x14ac:dyDescent="0.3">
      <c r="B6" s="14">
        <v>5</v>
      </c>
      <c r="C6" s="2">
        <v>0</v>
      </c>
      <c r="D6" s="2">
        <f t="shared" si="0"/>
        <v>150</v>
      </c>
      <c r="E6" s="2">
        <f t="shared" si="3"/>
        <v>0</v>
      </c>
      <c r="F6" s="2">
        <f t="shared" si="4"/>
        <v>11.203591666666666</v>
      </c>
      <c r="G6" s="15">
        <v>1</v>
      </c>
      <c r="H6" s="2">
        <v>100</v>
      </c>
      <c r="I6">
        <f t="shared" si="1"/>
        <v>25.217665416666666</v>
      </c>
      <c r="J6">
        <f t="shared" si="2"/>
        <v>36.42125708333333</v>
      </c>
    </row>
    <row r="7" spans="2:10" x14ac:dyDescent="0.3">
      <c r="B7" s="14">
        <v>6</v>
      </c>
      <c r="C7" s="2">
        <v>0</v>
      </c>
      <c r="D7" s="2">
        <f t="shared" si="0"/>
        <v>150</v>
      </c>
      <c r="E7" s="2">
        <f t="shared" si="3"/>
        <v>0</v>
      </c>
      <c r="F7" s="2">
        <f t="shared" si="4"/>
        <v>11.203591666666666</v>
      </c>
      <c r="G7" s="15">
        <v>1</v>
      </c>
      <c r="H7" s="2">
        <v>100</v>
      </c>
      <c r="I7">
        <f t="shared" si="1"/>
        <v>25.217665416666666</v>
      </c>
      <c r="J7">
        <f t="shared" si="2"/>
        <v>36.42125708333333</v>
      </c>
    </row>
    <row r="8" spans="2:10" x14ac:dyDescent="0.3">
      <c r="B8" s="14">
        <v>7</v>
      </c>
      <c r="C8" s="2">
        <v>0</v>
      </c>
      <c r="D8" s="2">
        <f t="shared" si="0"/>
        <v>150</v>
      </c>
      <c r="E8" s="2">
        <f t="shared" si="3"/>
        <v>0</v>
      </c>
      <c r="F8" s="2">
        <f t="shared" si="4"/>
        <v>11.203591666666666</v>
      </c>
      <c r="G8" s="15">
        <v>1</v>
      </c>
      <c r="H8" s="2">
        <v>100</v>
      </c>
      <c r="I8">
        <f t="shared" si="1"/>
        <v>25.217665416666666</v>
      </c>
      <c r="J8">
        <f t="shared" si="2"/>
        <v>36.42125708333333</v>
      </c>
    </row>
    <row r="9" spans="2:10" x14ac:dyDescent="0.3">
      <c r="B9" s="14">
        <v>8</v>
      </c>
      <c r="C9" s="2">
        <v>0</v>
      </c>
      <c r="D9" s="2">
        <f t="shared" si="0"/>
        <v>150</v>
      </c>
      <c r="E9" s="2">
        <f t="shared" si="3"/>
        <v>0</v>
      </c>
      <c r="F9" s="2">
        <f t="shared" si="4"/>
        <v>11.203591666666666</v>
      </c>
      <c r="G9" s="15">
        <v>1</v>
      </c>
      <c r="H9" s="2">
        <v>100</v>
      </c>
      <c r="I9">
        <f t="shared" si="1"/>
        <v>25.217665416666666</v>
      </c>
      <c r="J9">
        <f t="shared" si="2"/>
        <v>36.42125708333333</v>
      </c>
    </row>
    <row r="10" spans="2:10" x14ac:dyDescent="0.3">
      <c r="B10" s="14">
        <v>9</v>
      </c>
      <c r="C10" s="2">
        <v>0</v>
      </c>
      <c r="D10" s="2">
        <f t="shared" si="0"/>
        <v>150</v>
      </c>
      <c r="E10" s="2">
        <f t="shared" si="3"/>
        <v>0</v>
      </c>
      <c r="F10" s="2">
        <f t="shared" si="4"/>
        <v>11.203591666666666</v>
      </c>
      <c r="G10" s="15">
        <v>1</v>
      </c>
      <c r="H10" s="2">
        <v>100</v>
      </c>
      <c r="I10">
        <f t="shared" si="1"/>
        <v>25.217665416666666</v>
      </c>
      <c r="J10">
        <f t="shared" si="2"/>
        <v>36.42125708333333</v>
      </c>
    </row>
    <row r="11" spans="2:10" x14ac:dyDescent="0.3">
      <c r="B11" s="17">
        <v>10</v>
      </c>
      <c r="C11" s="18">
        <v>0</v>
      </c>
      <c r="D11" s="18">
        <f t="shared" si="0"/>
        <v>150</v>
      </c>
      <c r="E11" s="18">
        <f t="shared" si="3"/>
        <v>0</v>
      </c>
      <c r="F11" s="18">
        <f t="shared" si="4"/>
        <v>11.203591666666666</v>
      </c>
      <c r="G11" s="19">
        <v>1</v>
      </c>
      <c r="H11" s="18">
        <v>100</v>
      </c>
      <c r="I11" s="10">
        <f t="shared" si="1"/>
        <v>25.217665416666666</v>
      </c>
      <c r="J11" s="10">
        <f t="shared" si="2"/>
        <v>36.42125708333333</v>
      </c>
    </row>
    <row r="12" spans="2:10" x14ac:dyDescent="0.3">
      <c r="H12" s="21" t="s">
        <v>48</v>
      </c>
      <c r="I12" s="22">
        <f>SUM(I2:I11)</f>
        <v>186.87565000000001</v>
      </c>
      <c r="J12" s="23">
        <f t="shared" si="2"/>
        <v>186.87565000000001</v>
      </c>
    </row>
    <row r="13" spans="2:10" x14ac:dyDescent="0.3">
      <c r="H13" s="24" t="s">
        <v>49</v>
      </c>
      <c r="I13" s="20">
        <f>AVERAGE(I2:I11)</f>
        <v>18.687564999999999</v>
      </c>
      <c r="J13" s="25">
        <f>AVERAGE(J2:J11)</f>
        <v>28.687464999999996</v>
      </c>
    </row>
    <row r="14" spans="2:10" x14ac:dyDescent="0.3">
      <c r="H14" s="24" t="s">
        <v>50</v>
      </c>
      <c r="I14" s="26">
        <f>I12/10/(100+20)</f>
        <v>0.15572970833333333</v>
      </c>
      <c r="J14" s="27"/>
    </row>
    <row r="15" spans="2:10" x14ac:dyDescent="0.3">
      <c r="H15" s="28" t="s">
        <v>51</v>
      </c>
      <c r="I15" s="10">
        <f>100/J13</f>
        <v>3.485843032836816</v>
      </c>
      <c r="J15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BCBD3-69AC-46B0-9445-F64DB39A0832}">
  <dimension ref="A3:K32"/>
  <sheetViews>
    <sheetView tabSelected="1" workbookViewId="0">
      <selection activeCell="I17" sqref="I17"/>
    </sheetView>
  </sheetViews>
  <sheetFormatPr defaultRowHeight="14.4" x14ac:dyDescent="0.3"/>
  <cols>
    <col min="2" max="2" width="12.33203125" bestFit="1" customWidth="1"/>
    <col min="5" max="5" width="14.33203125" bestFit="1" customWidth="1"/>
    <col min="6" max="6" width="12" bestFit="1" customWidth="1"/>
    <col min="7" max="7" width="8.21875" bestFit="1" customWidth="1"/>
    <col min="8" max="8" width="17.6640625" bestFit="1" customWidth="1"/>
    <col min="11" max="11" width="12.5546875" bestFit="1" customWidth="1"/>
  </cols>
  <sheetData>
    <row r="3" spans="2:11" x14ac:dyDescent="0.3">
      <c r="B3" s="16" t="s">
        <v>7</v>
      </c>
      <c r="C3" s="16" t="s">
        <v>33</v>
      </c>
      <c r="D3" s="16" t="s">
        <v>46</v>
      </c>
      <c r="E3" s="16" t="s">
        <v>45</v>
      </c>
      <c r="F3" s="16" t="s">
        <v>40</v>
      </c>
      <c r="G3" s="16" t="s">
        <v>43</v>
      </c>
      <c r="H3" s="16" t="s">
        <v>44</v>
      </c>
      <c r="I3" s="16" t="s">
        <v>47</v>
      </c>
      <c r="J3" s="16" t="s">
        <v>41</v>
      </c>
      <c r="K3" s="34" t="s">
        <v>58</v>
      </c>
    </row>
    <row r="4" spans="2:11" x14ac:dyDescent="0.3">
      <c r="B4" s="14">
        <v>1</v>
      </c>
      <c r="C4" s="31">
        <v>11.37</v>
      </c>
      <c r="D4" s="31">
        <f>20*G4*2</f>
        <v>20</v>
      </c>
      <c r="E4" s="31">
        <f>C4/MAX(B4:B13)</f>
        <v>1.137</v>
      </c>
      <c r="F4" s="31">
        <f>E4</f>
        <v>1.137</v>
      </c>
      <c r="G4" s="15">
        <v>0.5</v>
      </c>
      <c r="H4" s="31">
        <v>20</v>
      </c>
      <c r="I4">
        <f>(D4-H4-F4)*(1-0.3)</f>
        <v>-0.79589999999999994</v>
      </c>
      <c r="J4">
        <f>I4+F4</f>
        <v>0.34110000000000007</v>
      </c>
      <c r="K4">
        <f>J4/(1 + 0.12)^(B4-1)</f>
        <v>0.34110000000000007</v>
      </c>
    </row>
    <row r="5" spans="2:11" x14ac:dyDescent="0.3">
      <c r="B5" s="14">
        <v>2</v>
      </c>
      <c r="C5" s="31">
        <v>0</v>
      </c>
      <c r="D5" s="31">
        <f t="shared" ref="D5:D13" si="0">20*G5*2</f>
        <v>30</v>
      </c>
      <c r="E5" s="31">
        <f t="shared" ref="E5:E12" si="1">C5/MAX(B5:B14)</f>
        <v>0</v>
      </c>
      <c r="F5" s="31">
        <f>E5+F4</f>
        <v>1.137</v>
      </c>
      <c r="G5" s="15">
        <v>0.75</v>
      </c>
      <c r="H5" s="31">
        <v>20</v>
      </c>
      <c r="I5">
        <f t="shared" ref="I5:I13" si="2">(D5-H5-F5)*(1-0.3)</f>
        <v>6.2040999999999995</v>
      </c>
      <c r="J5">
        <f t="shared" ref="J5:J13" si="3">I5+F5</f>
        <v>7.3410999999999991</v>
      </c>
      <c r="K5">
        <f t="shared" ref="K5:K13" si="4">J5/(1 + 0.12)^(B5-1)</f>
        <v>6.5545535714285696</v>
      </c>
    </row>
    <row r="6" spans="2:11" x14ac:dyDescent="0.3">
      <c r="B6" s="14">
        <v>3</v>
      </c>
      <c r="C6" s="31">
        <v>0</v>
      </c>
      <c r="D6" s="31">
        <f t="shared" si="0"/>
        <v>40</v>
      </c>
      <c r="E6" s="31">
        <f t="shared" si="1"/>
        <v>0</v>
      </c>
      <c r="F6" s="31">
        <f t="shared" ref="F6:F17" si="5">E6+F5</f>
        <v>1.137</v>
      </c>
      <c r="G6" s="15">
        <v>1</v>
      </c>
      <c r="H6" s="31">
        <v>20</v>
      </c>
      <c r="I6">
        <f t="shared" si="2"/>
        <v>13.204099999999999</v>
      </c>
      <c r="J6">
        <f t="shared" si="3"/>
        <v>14.341099999999999</v>
      </c>
      <c r="K6">
        <f t="shared" si="4"/>
        <v>11.432637117346937</v>
      </c>
    </row>
    <row r="7" spans="2:11" x14ac:dyDescent="0.3">
      <c r="B7" s="14">
        <v>4</v>
      </c>
      <c r="C7" s="31">
        <v>0</v>
      </c>
      <c r="D7" s="31">
        <f t="shared" si="0"/>
        <v>40</v>
      </c>
      <c r="E7" s="31">
        <f t="shared" si="1"/>
        <v>0</v>
      </c>
      <c r="F7" s="31">
        <f t="shared" si="5"/>
        <v>1.137</v>
      </c>
      <c r="G7" s="15">
        <v>1</v>
      </c>
      <c r="H7" s="31">
        <v>20</v>
      </c>
      <c r="I7">
        <f t="shared" si="2"/>
        <v>13.204099999999999</v>
      </c>
      <c r="J7">
        <f t="shared" si="3"/>
        <v>14.341099999999999</v>
      </c>
      <c r="K7">
        <f t="shared" si="4"/>
        <v>10.207711711916906</v>
      </c>
    </row>
    <row r="8" spans="2:11" x14ac:dyDescent="0.3">
      <c r="B8" s="14">
        <v>5</v>
      </c>
      <c r="C8" s="31">
        <v>0</v>
      </c>
      <c r="D8" s="31">
        <f t="shared" si="0"/>
        <v>40</v>
      </c>
      <c r="E8" s="31">
        <f t="shared" si="1"/>
        <v>0</v>
      </c>
      <c r="F8" s="31">
        <f t="shared" si="5"/>
        <v>1.137</v>
      </c>
      <c r="G8" s="15">
        <v>1</v>
      </c>
      <c r="H8" s="31">
        <v>20</v>
      </c>
      <c r="I8">
        <f t="shared" si="2"/>
        <v>13.204099999999999</v>
      </c>
      <c r="J8">
        <f t="shared" si="3"/>
        <v>14.341099999999999</v>
      </c>
      <c r="K8">
        <f t="shared" si="4"/>
        <v>9.1140283142115237</v>
      </c>
    </row>
    <row r="9" spans="2:11" x14ac:dyDescent="0.3">
      <c r="B9" s="14">
        <v>6</v>
      </c>
      <c r="C9" s="31">
        <v>0</v>
      </c>
      <c r="D9" s="31">
        <f t="shared" si="0"/>
        <v>40</v>
      </c>
      <c r="E9" s="31">
        <f t="shared" si="1"/>
        <v>0</v>
      </c>
      <c r="F9" s="31">
        <f t="shared" si="5"/>
        <v>1.137</v>
      </c>
      <c r="G9" s="15">
        <v>1</v>
      </c>
      <c r="H9" s="31">
        <v>20</v>
      </c>
      <c r="I9">
        <f t="shared" si="2"/>
        <v>13.204099999999999</v>
      </c>
      <c r="J9">
        <f t="shared" si="3"/>
        <v>14.341099999999999</v>
      </c>
      <c r="K9">
        <f t="shared" si="4"/>
        <v>8.1375252805460025</v>
      </c>
    </row>
    <row r="10" spans="2:11" x14ac:dyDescent="0.3">
      <c r="B10" s="14">
        <v>7</v>
      </c>
      <c r="C10" s="31">
        <v>0</v>
      </c>
      <c r="D10" s="31">
        <f t="shared" si="0"/>
        <v>40</v>
      </c>
      <c r="E10" s="31">
        <f t="shared" si="1"/>
        <v>0</v>
      </c>
      <c r="F10" s="31">
        <f t="shared" si="5"/>
        <v>1.137</v>
      </c>
      <c r="G10" s="15">
        <v>1</v>
      </c>
      <c r="H10" s="31">
        <v>20</v>
      </c>
      <c r="I10">
        <f t="shared" si="2"/>
        <v>13.204099999999999</v>
      </c>
      <c r="J10">
        <f t="shared" si="3"/>
        <v>14.341099999999999</v>
      </c>
      <c r="K10">
        <f t="shared" si="4"/>
        <v>7.2656475719160731</v>
      </c>
    </row>
    <row r="11" spans="2:11" x14ac:dyDescent="0.3">
      <c r="B11" s="14">
        <v>8</v>
      </c>
      <c r="C11" s="31">
        <v>0</v>
      </c>
      <c r="D11" s="31">
        <f t="shared" si="0"/>
        <v>40</v>
      </c>
      <c r="E11" s="31">
        <f t="shared" si="1"/>
        <v>0</v>
      </c>
      <c r="F11" s="31">
        <f t="shared" si="5"/>
        <v>1.137</v>
      </c>
      <c r="G11" s="15">
        <v>1</v>
      </c>
      <c r="H11" s="31">
        <v>20</v>
      </c>
      <c r="I11">
        <f t="shared" si="2"/>
        <v>13.204099999999999</v>
      </c>
      <c r="J11">
        <f t="shared" si="3"/>
        <v>14.341099999999999</v>
      </c>
      <c r="K11">
        <f t="shared" si="4"/>
        <v>6.4871853320679218</v>
      </c>
    </row>
    <row r="12" spans="2:11" x14ac:dyDescent="0.3">
      <c r="B12" s="14">
        <v>9</v>
      </c>
      <c r="C12" s="31">
        <v>0</v>
      </c>
      <c r="D12" s="31">
        <f t="shared" si="0"/>
        <v>40</v>
      </c>
      <c r="E12" s="31">
        <f t="shared" si="1"/>
        <v>0</v>
      </c>
      <c r="F12" s="31">
        <f t="shared" si="5"/>
        <v>1.137</v>
      </c>
      <c r="G12" s="15">
        <v>1</v>
      </c>
      <c r="H12" s="31">
        <v>20</v>
      </c>
      <c r="I12">
        <f t="shared" si="2"/>
        <v>13.204099999999999</v>
      </c>
      <c r="J12">
        <f t="shared" si="3"/>
        <v>14.341099999999999</v>
      </c>
      <c r="K12">
        <f t="shared" si="4"/>
        <v>5.7921297607749302</v>
      </c>
    </row>
    <row r="13" spans="2:11" x14ac:dyDescent="0.3">
      <c r="B13" s="17">
        <v>10</v>
      </c>
      <c r="C13" s="18">
        <v>0</v>
      </c>
      <c r="D13" s="18">
        <f t="shared" si="0"/>
        <v>40</v>
      </c>
      <c r="E13" s="18">
        <v>0</v>
      </c>
      <c r="F13" s="18">
        <f t="shared" si="5"/>
        <v>1.137</v>
      </c>
      <c r="G13" s="19">
        <v>1</v>
      </c>
      <c r="H13" s="18">
        <v>20</v>
      </c>
      <c r="I13">
        <f t="shared" si="2"/>
        <v>13.204099999999999</v>
      </c>
      <c r="J13">
        <f t="shared" si="3"/>
        <v>14.341099999999999</v>
      </c>
      <c r="K13" s="10">
        <f t="shared" si="4"/>
        <v>5.1715444292633306</v>
      </c>
    </row>
    <row r="14" spans="2:11" x14ac:dyDescent="0.3">
      <c r="C14" s="31"/>
      <c r="F14" s="31"/>
      <c r="H14" s="21" t="s">
        <v>48</v>
      </c>
      <c r="I14" s="22">
        <f>SUM(I4:I13)</f>
        <v>111.04099999999998</v>
      </c>
      <c r="J14" s="23">
        <f t="shared" ref="J14:J17" si="6">I14+F14</f>
        <v>111.04099999999998</v>
      </c>
      <c r="K14">
        <f>SUM(K4:K13)</f>
        <v>70.504063089472197</v>
      </c>
    </row>
    <row r="15" spans="2:11" x14ac:dyDescent="0.3">
      <c r="C15" s="31"/>
      <c r="F15" s="31"/>
      <c r="H15" s="24" t="s">
        <v>49</v>
      </c>
      <c r="I15" s="20">
        <f>AVERAGE(I4:I13)</f>
        <v>11.104099999999999</v>
      </c>
      <c r="J15" s="25">
        <f>AVERAGE(J4:J13)</f>
        <v>12.241099999999999</v>
      </c>
    </row>
    <row r="16" spans="2:11" x14ac:dyDescent="0.3">
      <c r="C16" s="31"/>
      <c r="F16" s="31"/>
      <c r="H16" s="24" t="s">
        <v>50</v>
      </c>
      <c r="I16" s="26">
        <f>I14/10/(11.37+20)</f>
        <v>0.3539719477207523</v>
      </c>
      <c r="J16" s="27"/>
    </row>
    <row r="17" spans="1:10" x14ac:dyDescent="0.3">
      <c r="C17" s="31"/>
      <c r="F17" s="31"/>
      <c r="H17" s="28" t="s">
        <v>51</v>
      </c>
      <c r="I17" s="10">
        <f>100/J15</f>
        <v>8.169200480348989</v>
      </c>
      <c r="J17" s="29"/>
    </row>
    <row r="21" spans="1:10" x14ac:dyDescent="0.3">
      <c r="A21" t="s">
        <v>7</v>
      </c>
      <c r="B21" t="s">
        <v>59</v>
      </c>
      <c r="C21" t="s">
        <v>60</v>
      </c>
      <c r="D21" t="s">
        <v>61</v>
      </c>
    </row>
    <row r="22" spans="1:10" x14ac:dyDescent="0.3">
      <c r="A22">
        <v>1</v>
      </c>
      <c r="B22">
        <v>11.37</v>
      </c>
      <c r="C22">
        <f>$B$22/10</f>
        <v>1.137</v>
      </c>
      <c r="D22">
        <f>B22/(1+0.12)^(A22-1)</f>
        <v>11.37</v>
      </c>
    </row>
    <row r="23" spans="1:10" x14ac:dyDescent="0.3">
      <c r="A23">
        <v>2</v>
      </c>
      <c r="B23">
        <f>B22-C22</f>
        <v>10.232999999999999</v>
      </c>
      <c r="C23">
        <f t="shared" ref="C23:C31" si="7">$B$22/10</f>
        <v>1.137</v>
      </c>
      <c r="D23">
        <f t="shared" ref="D23:D31" si="8">B23/(1+0.12)^(A23-1)</f>
        <v>9.1366071428571409</v>
      </c>
    </row>
    <row r="24" spans="1:10" x14ac:dyDescent="0.3">
      <c r="A24">
        <v>3</v>
      </c>
      <c r="B24">
        <f t="shared" ref="B24:B31" si="9">B23-C23</f>
        <v>9.0959999999999983</v>
      </c>
      <c r="C24">
        <f t="shared" si="7"/>
        <v>1.137</v>
      </c>
      <c r="D24">
        <f t="shared" si="8"/>
        <v>7.2512755102040796</v>
      </c>
    </row>
    <row r="25" spans="1:10" x14ac:dyDescent="0.3">
      <c r="A25">
        <v>4</v>
      </c>
      <c r="B25">
        <f t="shared" si="9"/>
        <v>7.9589999999999979</v>
      </c>
      <c r="C25">
        <f t="shared" si="7"/>
        <v>1.137</v>
      </c>
      <c r="D25">
        <f t="shared" si="8"/>
        <v>5.6650589923469354</v>
      </c>
    </row>
    <row r="26" spans="1:10" x14ac:dyDescent="0.3">
      <c r="A26">
        <v>5</v>
      </c>
      <c r="B26">
        <f t="shared" si="9"/>
        <v>6.8219999999999974</v>
      </c>
      <c r="C26">
        <f t="shared" si="7"/>
        <v>1.137</v>
      </c>
      <c r="D26">
        <f t="shared" si="8"/>
        <v>4.3355043308777566</v>
      </c>
    </row>
    <row r="27" spans="1:10" x14ac:dyDescent="0.3">
      <c r="A27">
        <v>6</v>
      </c>
      <c r="B27">
        <f t="shared" si="9"/>
        <v>5.6849999999999969</v>
      </c>
      <c r="C27">
        <f t="shared" si="7"/>
        <v>1.137</v>
      </c>
      <c r="D27">
        <f t="shared" si="8"/>
        <v>3.2258216747602351</v>
      </c>
    </row>
    <row r="28" spans="1:10" x14ac:dyDescent="0.3">
      <c r="A28">
        <v>7</v>
      </c>
      <c r="B28">
        <f t="shared" si="9"/>
        <v>4.5479999999999965</v>
      </c>
      <c r="C28">
        <f t="shared" si="7"/>
        <v>1.137</v>
      </c>
      <c r="D28">
        <f t="shared" si="8"/>
        <v>2.3041583391144527</v>
      </c>
    </row>
    <row r="29" spans="1:10" x14ac:dyDescent="0.3">
      <c r="A29">
        <v>8</v>
      </c>
      <c r="B29">
        <f t="shared" si="9"/>
        <v>3.4109999999999965</v>
      </c>
      <c r="C29">
        <f t="shared" si="7"/>
        <v>1.137</v>
      </c>
      <c r="D29">
        <f t="shared" si="8"/>
        <v>1.542963173514142</v>
      </c>
    </row>
    <row r="30" spans="1:10" x14ac:dyDescent="0.3">
      <c r="A30">
        <v>9</v>
      </c>
      <c r="B30">
        <f t="shared" si="9"/>
        <v>2.2739999999999965</v>
      </c>
      <c r="C30">
        <f t="shared" si="7"/>
        <v>1.137</v>
      </c>
      <c r="D30">
        <f t="shared" si="8"/>
        <v>0.91843046042508392</v>
      </c>
    </row>
    <row r="31" spans="1:10" x14ac:dyDescent="0.3">
      <c r="A31">
        <v>10</v>
      </c>
      <c r="B31">
        <f t="shared" si="9"/>
        <v>1.1369999999999965</v>
      </c>
      <c r="C31">
        <f t="shared" si="7"/>
        <v>1.137</v>
      </c>
      <c r="D31">
        <f t="shared" si="8"/>
        <v>0.41001359840405466</v>
      </c>
    </row>
    <row r="32" spans="1:10" x14ac:dyDescent="0.3">
      <c r="D32">
        <f>SUM(D22:D31)</f>
        <v>46.159833222503885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7-17</vt:lpstr>
      <vt:lpstr>8-4</vt:lpstr>
      <vt:lpstr>8-5</vt:lpstr>
      <vt:lpstr>8-7</vt:lpstr>
      <vt:lpstr>8-10</vt:lpstr>
      <vt:lpstr>8-17</vt:lpstr>
      <vt:lpstr>8-13</vt:lpstr>
      <vt:lpstr>8-18</vt:lpstr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2019-02-04T21:59:35Z</dcterms:created>
  <dcterms:modified xsi:type="dcterms:W3CDTF">2019-02-14T22:22:10Z</dcterms:modified>
</cp:coreProperties>
</file>