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Lesniak/Documents/Github/Lesniak_restoreCR_XXXX_2019/data/raw/"/>
    </mc:Choice>
  </mc:AlternateContent>
  <xr:revisionPtr revIDLastSave="0" documentId="13_ncr:1_{B02F34D9-CEB8-0D47-893F-12B2C263017E}" xr6:coauthVersionLast="36" xr6:coauthVersionMax="40" xr10:uidLastSave="{00000000-0000-0000-0000-000000000000}"/>
  <bookViews>
    <workbookView xWindow="21220" yWindow="15140" windowWidth="26900" windowHeight="12440" activeTab="8" xr2:uid="{9ABC2946-D5DC-CD41-B373-36EEE3962A99}"/>
  </bookViews>
  <sheets>
    <sheet name="Abbrev." sheetId="2" r:id="rId1"/>
    <sheet name="Calendar" sheetId="4" r:id="rId2"/>
    <sheet name="Cg. setup" sheetId="3" r:id="rId3"/>
    <sheet name="Inventory" sheetId="5" r:id="rId4"/>
    <sheet name="Daily Weight " sheetId="6" r:id="rId5"/>
    <sheet name="Tube wts" sheetId="7" r:id="rId6"/>
    <sheet name="D0 C. diff" sheetId="10" r:id="rId7"/>
    <sheet name="C. diff CFUs" sheetId="11" r:id="rId8"/>
    <sheet name="clean_cfu_df" sheetId="13" r:id="rId9"/>
    <sheet name="FMT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1" l="1"/>
  <c r="V16" i="11"/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34" i="13"/>
  <c r="E115" i="13" l="1"/>
  <c r="E116" i="13"/>
  <c r="E117" i="13"/>
  <c r="E118" i="13"/>
  <c r="E119" i="13"/>
  <c r="E120" i="13"/>
  <c r="E121" i="13"/>
  <c r="E114" i="13"/>
  <c r="E107" i="13"/>
  <c r="E108" i="13"/>
  <c r="E109" i="13"/>
  <c r="E110" i="13"/>
  <c r="E111" i="13"/>
  <c r="E112" i="13"/>
  <c r="E113" i="13"/>
  <c r="E106" i="13"/>
  <c r="E99" i="13"/>
  <c r="E100" i="13"/>
  <c r="E101" i="13"/>
  <c r="E102" i="13"/>
  <c r="E103" i="13"/>
  <c r="E104" i="13"/>
  <c r="E105" i="13"/>
  <c r="E98" i="13"/>
  <c r="E91" i="13"/>
  <c r="E92" i="13"/>
  <c r="E93" i="13"/>
  <c r="E94" i="13"/>
  <c r="E95" i="13"/>
  <c r="E96" i="13"/>
  <c r="E97" i="13"/>
  <c r="E90" i="13"/>
  <c r="E83" i="13"/>
  <c r="E84" i="13"/>
  <c r="E85" i="13"/>
  <c r="E86" i="13"/>
  <c r="E87" i="13"/>
  <c r="E88" i="13"/>
  <c r="E89" i="13"/>
  <c r="E82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Y64" i="11"/>
  <c r="Y65" i="11"/>
  <c r="Y57" i="11"/>
  <c r="Y54" i="11"/>
  <c r="Y55" i="11"/>
  <c r="Y47" i="11"/>
  <c r="Y46" i="11"/>
  <c r="Y49" i="11"/>
  <c r="U16" i="11" l="1"/>
  <c r="Z17" i="11"/>
  <c r="Z16" i="11"/>
  <c r="Y29" i="11" l="1"/>
  <c r="Y28" i="11"/>
  <c r="Y21" i="11"/>
  <c r="Y20" i="11"/>
  <c r="F52" i="13" s="1"/>
  <c r="Y12" i="11"/>
  <c r="F44" i="13"/>
  <c r="F35" i="13"/>
  <c r="F36" i="13"/>
  <c r="F37" i="13"/>
  <c r="F38" i="13"/>
  <c r="F39" i="13"/>
  <c r="F40" i="13"/>
  <c r="F41" i="13"/>
  <c r="F42" i="13"/>
  <c r="F43" i="13"/>
  <c r="F45" i="13"/>
  <c r="F46" i="13"/>
  <c r="F47" i="13"/>
  <c r="F50" i="13"/>
  <c r="F51" i="13"/>
  <c r="F53" i="13"/>
  <c r="F54" i="13"/>
  <c r="F55" i="13"/>
  <c r="F56" i="13"/>
  <c r="F57" i="13"/>
  <c r="F34" i="13"/>
  <c r="E75" i="13"/>
  <c r="E76" i="13"/>
  <c r="E77" i="13"/>
  <c r="E78" i="13"/>
  <c r="E79" i="13"/>
  <c r="E80" i="13"/>
  <c r="E81" i="13"/>
  <c r="E74" i="13"/>
  <c r="E67" i="13"/>
  <c r="E68" i="13"/>
  <c r="E69" i="13"/>
  <c r="E70" i="13"/>
  <c r="E71" i="13"/>
  <c r="E72" i="13"/>
  <c r="E73" i="13"/>
  <c r="E66" i="13"/>
  <c r="E59" i="13"/>
  <c r="E60" i="13"/>
  <c r="E61" i="13"/>
  <c r="E62" i="13"/>
  <c r="E63" i="13"/>
  <c r="E64" i="13"/>
  <c r="E65" i="13"/>
  <c r="E58" i="13"/>
  <c r="E51" i="13"/>
  <c r="E52" i="13"/>
  <c r="E53" i="13"/>
  <c r="E54" i="13"/>
  <c r="E55" i="13"/>
  <c r="E56" i="13"/>
  <c r="E57" i="13"/>
  <c r="E50" i="13"/>
  <c r="E43" i="13"/>
  <c r="E44" i="13"/>
  <c r="E45" i="13"/>
  <c r="E46" i="13"/>
  <c r="E47" i="13"/>
  <c r="E48" i="13"/>
  <c r="E49" i="13"/>
  <c r="E42" i="13"/>
  <c r="E35" i="13"/>
  <c r="E36" i="13"/>
  <c r="E37" i="13"/>
  <c r="E38" i="13"/>
  <c r="E39" i="13"/>
  <c r="E40" i="13"/>
  <c r="E41" i="13"/>
  <c r="E34" i="13"/>
  <c r="E27" i="13"/>
  <c r="E28" i="13"/>
  <c r="E29" i="13"/>
  <c r="E30" i="13"/>
  <c r="E31" i="13"/>
  <c r="E32" i="13"/>
  <c r="E33" i="13"/>
  <c r="E26" i="13"/>
  <c r="E19" i="13"/>
  <c r="E20" i="13"/>
  <c r="E21" i="13"/>
  <c r="E22" i="13"/>
  <c r="E23" i="13"/>
  <c r="E24" i="13"/>
  <c r="E25" i="13"/>
  <c r="E18" i="13"/>
  <c r="E11" i="13"/>
  <c r="E12" i="13"/>
  <c r="E13" i="13"/>
  <c r="E14" i="13"/>
  <c r="E15" i="13"/>
  <c r="E16" i="13"/>
  <c r="E17" i="13"/>
  <c r="E10" i="13"/>
  <c r="E3" i="13"/>
  <c r="E4" i="13"/>
  <c r="E5" i="13"/>
  <c r="E6" i="13"/>
  <c r="E7" i="13"/>
  <c r="E8" i="13"/>
  <c r="E9" i="13"/>
  <c r="E2" i="13"/>
  <c r="E32" i="10" l="1"/>
  <c r="D32" i="10"/>
  <c r="E29" i="10"/>
  <c r="D29" i="10"/>
  <c r="C29" i="10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G2" i="11"/>
  <c r="F2" i="11"/>
  <c r="A22" i="10"/>
  <c r="A19" i="10"/>
  <c r="F10" i="10"/>
  <c r="E10" i="10"/>
  <c r="D10" i="10"/>
  <c r="C10" i="10"/>
  <c r="M3" i="5" l="1"/>
  <c r="M4" i="5"/>
  <c r="M5" i="5"/>
  <c r="M6" i="5"/>
  <c r="M7" i="5"/>
  <c r="M8" i="5"/>
  <c r="M9" i="5"/>
  <c r="M2" i="5"/>
  <c r="Q89" i="11"/>
  <c r="H89" i="11"/>
  <c r="I89" i="11" s="1"/>
  <c r="Q88" i="11"/>
  <c r="H88" i="11"/>
  <c r="I88" i="11" s="1"/>
  <c r="Q87" i="11"/>
  <c r="H87" i="11"/>
  <c r="I87" i="11" s="1"/>
  <c r="Q86" i="11"/>
  <c r="H86" i="11"/>
  <c r="I86" i="11" s="1"/>
  <c r="Q85" i="11"/>
  <c r="H85" i="11"/>
  <c r="I85" i="11" s="1"/>
  <c r="Q84" i="11"/>
  <c r="H84" i="11"/>
  <c r="I84" i="11" s="1"/>
  <c r="Q83" i="11"/>
  <c r="H83" i="11"/>
  <c r="I83" i="11" s="1"/>
  <c r="W82" i="11"/>
  <c r="Q82" i="11"/>
  <c r="H82" i="11"/>
  <c r="I82" i="11" s="1"/>
  <c r="Q81" i="11"/>
  <c r="H81" i="11"/>
  <c r="I81" i="11" s="1"/>
  <c r="S80" i="11"/>
  <c r="Q80" i="11"/>
  <c r="H80" i="11"/>
  <c r="I80" i="11" s="1"/>
  <c r="Q79" i="11"/>
  <c r="H79" i="11"/>
  <c r="I79" i="11" s="1"/>
  <c r="Q78" i="11"/>
  <c r="H78" i="11"/>
  <c r="I78" i="11" s="1"/>
  <c r="Q77" i="11"/>
  <c r="H77" i="11"/>
  <c r="I77" i="11" s="1"/>
  <c r="S76" i="11"/>
  <c r="R76" i="11"/>
  <c r="Q76" i="11"/>
  <c r="H76" i="11"/>
  <c r="I76" i="11" s="1"/>
  <c r="Q75" i="11"/>
  <c r="I75" i="11"/>
  <c r="H75" i="11"/>
  <c r="Q74" i="11"/>
  <c r="H74" i="11"/>
  <c r="I74" i="11" s="1"/>
  <c r="Q73" i="11"/>
  <c r="H73" i="11"/>
  <c r="I73" i="11" s="1"/>
  <c r="Q72" i="11"/>
  <c r="H72" i="11"/>
  <c r="I72" i="11" s="1"/>
  <c r="Q71" i="11"/>
  <c r="H71" i="11"/>
  <c r="I71" i="11" s="1"/>
  <c r="S70" i="11"/>
  <c r="Q70" i="11"/>
  <c r="H70" i="11"/>
  <c r="I70" i="11" s="1"/>
  <c r="Q69" i="11"/>
  <c r="H69" i="11"/>
  <c r="I69" i="11" s="1"/>
  <c r="Q68" i="11"/>
  <c r="H68" i="11"/>
  <c r="I68" i="11" s="1"/>
  <c r="Q67" i="11"/>
  <c r="H67" i="11"/>
  <c r="I67" i="11" s="1"/>
  <c r="W66" i="11"/>
  <c r="Q66" i="11"/>
  <c r="V66" i="11" s="1"/>
  <c r="H66" i="11"/>
  <c r="I66" i="11" s="1"/>
  <c r="Q65" i="11"/>
  <c r="T65" i="11" s="1"/>
  <c r="H65" i="11"/>
  <c r="I65" i="11" s="1"/>
  <c r="Q64" i="11"/>
  <c r="U64" i="11" s="1"/>
  <c r="H64" i="11"/>
  <c r="I64" i="11" s="1"/>
  <c r="Q63" i="11"/>
  <c r="H63" i="11"/>
  <c r="I63" i="11" s="1"/>
  <c r="S62" i="11"/>
  <c r="Q62" i="11"/>
  <c r="H62" i="11"/>
  <c r="I62" i="11" s="1"/>
  <c r="Q61" i="11"/>
  <c r="H61" i="11"/>
  <c r="I61" i="11" s="1"/>
  <c r="Q60" i="11"/>
  <c r="H60" i="11"/>
  <c r="I60" i="11" s="1"/>
  <c r="Q59" i="11"/>
  <c r="H59" i="11"/>
  <c r="I59" i="11" s="1"/>
  <c r="W58" i="11"/>
  <c r="Q58" i="11"/>
  <c r="U58" i="11" s="1"/>
  <c r="H58" i="11"/>
  <c r="I58" i="11" s="1"/>
  <c r="Q57" i="11"/>
  <c r="T57" i="11" s="1"/>
  <c r="H57" i="11"/>
  <c r="I57" i="11" s="1"/>
  <c r="Q56" i="11"/>
  <c r="V56" i="11" s="1"/>
  <c r="H56" i="11"/>
  <c r="I56" i="11" s="1"/>
  <c r="Q55" i="11"/>
  <c r="T55" i="11" s="1"/>
  <c r="H55" i="11"/>
  <c r="I55" i="11" s="1"/>
  <c r="Q54" i="11"/>
  <c r="H54" i="11"/>
  <c r="I54" i="11" s="1"/>
  <c r="Q53" i="11"/>
  <c r="H53" i="11"/>
  <c r="I53" i="11" s="1"/>
  <c r="Q52" i="11"/>
  <c r="H52" i="11"/>
  <c r="I52" i="11" s="1"/>
  <c r="Q51" i="11"/>
  <c r="H51" i="11"/>
  <c r="I51" i="11" s="1"/>
  <c r="Q50" i="11"/>
  <c r="V50" i="11" s="1"/>
  <c r="H50" i="11"/>
  <c r="I50" i="11" s="1"/>
  <c r="Q49" i="11"/>
  <c r="T49" i="11" s="1"/>
  <c r="H49" i="11"/>
  <c r="I49" i="11" s="1"/>
  <c r="Q48" i="11"/>
  <c r="V48" i="11" s="1"/>
  <c r="H48" i="11"/>
  <c r="I48" i="11" s="1"/>
  <c r="Q47" i="11"/>
  <c r="T47" i="11" s="1"/>
  <c r="H47" i="11"/>
  <c r="I47" i="11" s="1"/>
  <c r="Q46" i="11"/>
  <c r="H46" i="11"/>
  <c r="I46" i="11" s="1"/>
  <c r="Q45" i="11"/>
  <c r="H45" i="11"/>
  <c r="I45" i="11" s="1"/>
  <c r="Q44" i="11"/>
  <c r="H44" i="11"/>
  <c r="I44" i="11" s="1"/>
  <c r="Q43" i="11"/>
  <c r="H43" i="11"/>
  <c r="I43" i="11" s="1"/>
  <c r="Q42" i="11"/>
  <c r="V42" i="11" s="1"/>
  <c r="H42" i="11"/>
  <c r="I42" i="11" s="1"/>
  <c r="Q41" i="11"/>
  <c r="T41" i="11" s="1"/>
  <c r="H41" i="11"/>
  <c r="I41" i="11" s="1"/>
  <c r="Q40" i="11"/>
  <c r="U40" i="11" s="1"/>
  <c r="H40" i="11"/>
  <c r="I40" i="11" s="1"/>
  <c r="Q39" i="11"/>
  <c r="T39" i="11" s="1"/>
  <c r="H39" i="11"/>
  <c r="I39" i="11" s="1"/>
  <c r="Q38" i="11"/>
  <c r="U38" i="11" s="1"/>
  <c r="H38" i="11"/>
  <c r="I38" i="11" s="1"/>
  <c r="Q37" i="11"/>
  <c r="T37" i="11" s="1"/>
  <c r="H37" i="11"/>
  <c r="I37" i="11" s="1"/>
  <c r="S36" i="11"/>
  <c r="R36" i="11"/>
  <c r="Q36" i="11"/>
  <c r="U36" i="11" s="1"/>
  <c r="H36" i="11"/>
  <c r="I36" i="11" s="1"/>
  <c r="Q35" i="11"/>
  <c r="H35" i="11"/>
  <c r="I35" i="11" s="1"/>
  <c r="Q34" i="11"/>
  <c r="H34" i="11"/>
  <c r="I34" i="11" s="1"/>
  <c r="Q33" i="11"/>
  <c r="T33" i="11" s="1"/>
  <c r="H33" i="11"/>
  <c r="I33" i="11" s="1"/>
  <c r="W32" i="11"/>
  <c r="T32" i="11"/>
  <c r="Q32" i="11"/>
  <c r="V32" i="11" s="1"/>
  <c r="H32" i="11"/>
  <c r="I32" i="11" s="1"/>
  <c r="Q31" i="11"/>
  <c r="T31" i="11" s="1"/>
  <c r="H31" i="11"/>
  <c r="I31" i="11" s="1"/>
  <c r="W30" i="11"/>
  <c r="T30" i="11"/>
  <c r="Q30" i="11"/>
  <c r="V30" i="11" s="1"/>
  <c r="H30" i="11"/>
  <c r="I30" i="11" s="1"/>
  <c r="Q29" i="11"/>
  <c r="T29" i="11" s="1"/>
  <c r="H29" i="11"/>
  <c r="I29" i="11" s="1"/>
  <c r="Q28" i="11"/>
  <c r="H28" i="11"/>
  <c r="I28" i="11" s="1"/>
  <c r="Q27" i="11"/>
  <c r="H27" i="11"/>
  <c r="I27" i="11" s="1"/>
  <c r="Q26" i="11"/>
  <c r="V26" i="11" s="1"/>
  <c r="H26" i="11"/>
  <c r="I26" i="11" s="1"/>
  <c r="Q25" i="11"/>
  <c r="H25" i="11"/>
  <c r="I25" i="11" s="1"/>
  <c r="W24" i="11"/>
  <c r="Q24" i="11"/>
  <c r="V24" i="11" s="1"/>
  <c r="H24" i="11"/>
  <c r="I24" i="11" s="1"/>
  <c r="Q23" i="11"/>
  <c r="H23" i="11"/>
  <c r="I23" i="11" s="1"/>
  <c r="W22" i="11"/>
  <c r="Q22" i="11"/>
  <c r="V22" i="11" s="1"/>
  <c r="H22" i="11"/>
  <c r="I22" i="11" s="1"/>
  <c r="Q21" i="11"/>
  <c r="T21" i="11" s="1"/>
  <c r="H21" i="11"/>
  <c r="I21" i="11" s="1"/>
  <c r="T20" i="11"/>
  <c r="S20" i="11"/>
  <c r="Q20" i="11"/>
  <c r="V20" i="11" s="1"/>
  <c r="H20" i="11"/>
  <c r="I20" i="11" s="1"/>
  <c r="Q18" i="11"/>
  <c r="V18" i="11" s="1"/>
  <c r="H18" i="11"/>
  <c r="I18" i="11" s="1"/>
  <c r="Q17" i="11"/>
  <c r="H17" i="11"/>
  <c r="I17" i="11" s="1"/>
  <c r="Q16" i="11"/>
  <c r="H16" i="11"/>
  <c r="I16" i="11" s="1"/>
  <c r="Q15" i="11"/>
  <c r="H15" i="11"/>
  <c r="I15" i="11" s="1"/>
  <c r="Q14" i="11"/>
  <c r="V14" i="11" s="1"/>
  <c r="H14" i="11"/>
  <c r="I14" i="11" s="1"/>
  <c r="Q13" i="11"/>
  <c r="H13" i="11"/>
  <c r="I13" i="11" s="1"/>
  <c r="T12" i="11"/>
  <c r="Q12" i="11"/>
  <c r="V12" i="11" s="1"/>
  <c r="H12" i="11"/>
  <c r="I12" i="11" s="1"/>
  <c r="Q11" i="11"/>
  <c r="H11" i="11"/>
  <c r="I11" i="11" s="1"/>
  <c r="Q10" i="11"/>
  <c r="V10" i="11" s="1"/>
  <c r="H10" i="11"/>
  <c r="I10" i="11" s="1"/>
  <c r="Q3" i="11"/>
  <c r="Q4" i="11"/>
  <c r="Q5" i="11"/>
  <c r="Q6" i="11"/>
  <c r="Q7" i="11"/>
  <c r="Q8" i="11"/>
  <c r="Q9" i="11"/>
  <c r="Q2" i="11"/>
  <c r="H9" i="11"/>
  <c r="I9" i="11" s="1"/>
  <c r="H8" i="11"/>
  <c r="I8" i="11" s="1"/>
  <c r="H7" i="11"/>
  <c r="I7" i="11" s="1"/>
  <c r="H6" i="11"/>
  <c r="I6" i="11" s="1"/>
  <c r="R5" i="11"/>
  <c r="H5" i="11"/>
  <c r="I5" i="11" s="1"/>
  <c r="H4" i="11"/>
  <c r="I4" i="11" s="1"/>
  <c r="R3" i="11"/>
  <c r="H3" i="11"/>
  <c r="I3" i="11" s="1"/>
  <c r="H2" i="11"/>
  <c r="I2" i="11" s="1"/>
  <c r="M16" i="6"/>
  <c r="M17" i="6"/>
  <c r="M18" i="6"/>
  <c r="M19" i="6"/>
  <c r="M20" i="6"/>
  <c r="M21" i="6"/>
  <c r="M22" i="6"/>
  <c r="M15" i="6"/>
  <c r="N16" i="6"/>
  <c r="N17" i="6"/>
  <c r="N18" i="6"/>
  <c r="N19" i="6"/>
  <c r="N20" i="6"/>
  <c r="N21" i="6"/>
  <c r="N22" i="6"/>
  <c r="N15" i="6"/>
  <c r="K16" i="6"/>
  <c r="K17" i="6"/>
  <c r="K18" i="6"/>
  <c r="K19" i="6"/>
  <c r="K20" i="6"/>
  <c r="K21" i="6"/>
  <c r="K22" i="6"/>
  <c r="K15" i="6"/>
  <c r="W26" i="11" l="1"/>
  <c r="V38" i="11"/>
  <c r="S28" i="11"/>
  <c r="V34" i="11"/>
  <c r="Y38" i="11"/>
  <c r="F70" i="13" s="1"/>
  <c r="S56" i="11"/>
  <c r="R64" i="11"/>
  <c r="S68" i="11"/>
  <c r="V74" i="11"/>
  <c r="R78" i="11"/>
  <c r="R88" i="11"/>
  <c r="V64" i="11"/>
  <c r="W10" i="11"/>
  <c r="T28" i="11"/>
  <c r="Y34" i="11"/>
  <c r="F66" i="13" s="1"/>
  <c r="W34" i="11"/>
  <c r="T36" i="11"/>
  <c r="Y36" i="11" s="1"/>
  <c r="F68" i="13" s="1"/>
  <c r="S38" i="11"/>
  <c r="V40" i="11"/>
  <c r="Y40" i="11" s="1"/>
  <c r="F72" i="13" s="1"/>
  <c r="W42" i="11"/>
  <c r="S46" i="11"/>
  <c r="S54" i="11"/>
  <c r="T56" i="11"/>
  <c r="T58" i="11"/>
  <c r="R60" i="11"/>
  <c r="S64" i="11"/>
  <c r="W74" i="11"/>
  <c r="S78" i="11"/>
  <c r="R84" i="11"/>
  <c r="R4" i="11"/>
  <c r="R8" i="11"/>
  <c r="Y3" i="11"/>
  <c r="R7" i="11"/>
  <c r="Y7" i="11" s="1"/>
  <c r="S12" i="11"/>
  <c r="W18" i="11"/>
  <c r="U26" i="11"/>
  <c r="T38" i="11"/>
  <c r="S44" i="11"/>
  <c r="T46" i="11"/>
  <c r="S52" i="11"/>
  <c r="T54" i="11"/>
  <c r="V58" i="11"/>
  <c r="S60" i="11"/>
  <c r="R62" i="11"/>
  <c r="T64" i="11"/>
  <c r="S72" i="11"/>
  <c r="Y76" i="11"/>
  <c r="R80" i="11"/>
  <c r="Y80" i="11" s="1"/>
  <c r="V82" i="11"/>
  <c r="R86" i="11"/>
  <c r="Y82" i="11"/>
  <c r="Y86" i="11"/>
  <c r="R85" i="11"/>
  <c r="W83" i="11"/>
  <c r="V83" i="11"/>
  <c r="R87" i="11"/>
  <c r="R89" i="11"/>
  <c r="W75" i="11"/>
  <c r="S77" i="11"/>
  <c r="S79" i="11"/>
  <c r="S81" i="11"/>
  <c r="Y75" i="11"/>
  <c r="V75" i="11"/>
  <c r="R77" i="11"/>
  <c r="R79" i="11"/>
  <c r="Y79" i="11" s="1"/>
  <c r="R81" i="11"/>
  <c r="V67" i="11"/>
  <c r="R69" i="11"/>
  <c r="R71" i="11"/>
  <c r="R73" i="11"/>
  <c r="W67" i="11"/>
  <c r="S69" i="11"/>
  <c r="S71" i="11"/>
  <c r="S73" i="11"/>
  <c r="R68" i="11"/>
  <c r="R70" i="11"/>
  <c r="Y70" i="11" s="1"/>
  <c r="R72" i="11"/>
  <c r="Y58" i="11"/>
  <c r="Y62" i="11"/>
  <c r="U59" i="11"/>
  <c r="U65" i="11"/>
  <c r="W59" i="11"/>
  <c r="S61" i="11"/>
  <c r="S63" i="11"/>
  <c r="S65" i="11"/>
  <c r="V59" i="11"/>
  <c r="R61" i="11"/>
  <c r="R63" i="11"/>
  <c r="R65" i="11"/>
  <c r="U57" i="11"/>
  <c r="V51" i="11"/>
  <c r="R53" i="11"/>
  <c r="R55" i="11"/>
  <c r="R57" i="11"/>
  <c r="U50" i="11"/>
  <c r="W51" i="11"/>
  <c r="S53" i="11"/>
  <c r="S55" i="11"/>
  <c r="U56" i="11"/>
  <c r="S57" i="11"/>
  <c r="R52" i="11"/>
  <c r="R54" i="11"/>
  <c r="Y56" i="11"/>
  <c r="W43" i="11"/>
  <c r="S45" i="11"/>
  <c r="S47" i="11"/>
  <c r="U48" i="11"/>
  <c r="S49" i="11"/>
  <c r="U43" i="11"/>
  <c r="U49" i="11"/>
  <c r="V43" i="11"/>
  <c r="R45" i="11"/>
  <c r="R47" i="11"/>
  <c r="V49" i="11"/>
  <c r="Y42" i="11"/>
  <c r="F74" i="13" s="1"/>
  <c r="R44" i="11"/>
  <c r="R46" i="11"/>
  <c r="Y48" i="11"/>
  <c r="F80" i="13" s="1"/>
  <c r="U35" i="11"/>
  <c r="U37" i="11"/>
  <c r="R37" i="11"/>
  <c r="V41" i="11"/>
  <c r="W35" i="11"/>
  <c r="S37" i="11"/>
  <c r="S39" i="11"/>
  <c r="U39" i="11"/>
  <c r="U41" i="11"/>
  <c r="V35" i="11"/>
  <c r="Y39" i="11"/>
  <c r="F71" i="13" s="1"/>
  <c r="V39" i="11"/>
  <c r="U29" i="11"/>
  <c r="U31" i="11"/>
  <c r="U33" i="11"/>
  <c r="W27" i="11"/>
  <c r="U28" i="11"/>
  <c r="S29" i="11"/>
  <c r="U30" i="11"/>
  <c r="W31" i="11"/>
  <c r="U32" i="11"/>
  <c r="W33" i="11"/>
  <c r="V27" i="11"/>
  <c r="R29" i="11"/>
  <c r="V31" i="11"/>
  <c r="V33" i="11"/>
  <c r="R28" i="11"/>
  <c r="Y30" i="11"/>
  <c r="F62" i="13" s="1"/>
  <c r="Y32" i="11"/>
  <c r="F64" i="13" s="1"/>
  <c r="V25" i="11"/>
  <c r="U21" i="11"/>
  <c r="V21" i="11"/>
  <c r="U20" i="11"/>
  <c r="S21" i="11"/>
  <c r="U22" i="11"/>
  <c r="W23" i="11"/>
  <c r="U24" i="11"/>
  <c r="W25" i="11"/>
  <c r="V23" i="11"/>
  <c r="R20" i="11"/>
  <c r="U12" i="11"/>
  <c r="U14" i="11"/>
  <c r="U13" i="11"/>
  <c r="U15" i="11"/>
  <c r="V11" i="11"/>
  <c r="V13" i="11"/>
  <c r="V15" i="11"/>
  <c r="W11" i="11"/>
  <c r="R2" i="11"/>
  <c r="R9" i="11"/>
  <c r="Y2" i="11"/>
  <c r="R6" i="11"/>
  <c r="L3" i="5"/>
  <c r="L4" i="5"/>
  <c r="L5" i="5"/>
  <c r="L6" i="5"/>
  <c r="L7" i="5"/>
  <c r="L8" i="5"/>
  <c r="L9" i="5"/>
  <c r="L2" i="5"/>
  <c r="J3" i="5"/>
  <c r="J4" i="5"/>
  <c r="J5" i="5"/>
  <c r="J6" i="5"/>
  <c r="J7" i="5"/>
  <c r="J8" i="5"/>
  <c r="J9" i="5"/>
  <c r="J2" i="5"/>
  <c r="Y78" i="11" l="1"/>
  <c r="Y74" i="11"/>
  <c r="Y16" i="11"/>
  <c r="F48" i="13" s="1"/>
  <c r="Y5" i="11"/>
  <c r="F78" i="13"/>
  <c r="Y66" i="11"/>
  <c r="Y84" i="11"/>
  <c r="Y4" i="11"/>
  <c r="Y9" i="11"/>
  <c r="Y18" i="11"/>
  <c r="Y26" i="11"/>
  <c r="F58" i="13" s="1"/>
  <c r="Y33" i="11"/>
  <c r="F65" i="13" s="1"/>
  <c r="Y63" i="11"/>
  <c r="Y72" i="11"/>
  <c r="Y87" i="11"/>
  <c r="Y60" i="11"/>
  <c r="Y10" i="11"/>
  <c r="Y24" i="11"/>
  <c r="Y50" i="11"/>
  <c r="Y8" i="11"/>
  <c r="Y88" i="11"/>
  <c r="Y6" i="11"/>
  <c r="Y89" i="11"/>
  <c r="Y85" i="11"/>
  <c r="Y83" i="11"/>
  <c r="Y77" i="11"/>
  <c r="Y81" i="11"/>
  <c r="Y73" i="11"/>
  <c r="Y68" i="11"/>
  <c r="Y69" i="11"/>
  <c r="Y71" i="11"/>
  <c r="Y67" i="11"/>
  <c r="Y61" i="11"/>
  <c r="Y59" i="11"/>
  <c r="Y53" i="11"/>
  <c r="Y52" i="11"/>
  <c r="Y51" i="11"/>
  <c r="F81" i="13"/>
  <c r="Y44" i="11"/>
  <c r="F76" i="13" s="1"/>
  <c r="Y45" i="11"/>
  <c r="F77" i="13" s="1"/>
  <c r="F79" i="13"/>
  <c r="Y43" i="11"/>
  <c r="F75" i="13" s="1"/>
  <c r="Y41" i="11"/>
  <c r="F73" i="13" s="1"/>
  <c r="Y35" i="11"/>
  <c r="F67" i="13" s="1"/>
  <c r="Y37" i="11"/>
  <c r="F69" i="13" s="1"/>
  <c r="F61" i="13"/>
  <c r="F60" i="13"/>
  <c r="Y31" i="11"/>
  <c r="F63" i="13" s="1"/>
  <c r="Y27" i="11"/>
  <c r="F59" i="13" s="1"/>
  <c r="Y22" i="11"/>
  <c r="Y23" i="11"/>
  <c r="Y25" i="11"/>
  <c r="Y17" i="11"/>
  <c r="F49" i="13" s="1"/>
  <c r="Y14" i="11"/>
  <c r="Y13" i="11"/>
  <c r="Y15" i="11"/>
  <c r="Y11" i="11"/>
  <c r="D22" i="10" l="1"/>
</calcChain>
</file>

<file path=xl/sharedStrings.xml><?xml version="1.0" encoding="utf-8"?>
<sst xmlns="http://schemas.openxmlformats.org/spreadsheetml/2006/main" count="1752" uniqueCount="226">
  <si>
    <t>C57-94</t>
  </si>
  <si>
    <t>Cage #</t>
  </si>
  <si>
    <t>DOB</t>
  </si>
  <si>
    <t>Transfer Date</t>
  </si>
  <si>
    <t>Notes</t>
  </si>
  <si>
    <t>Groups:</t>
  </si>
  <si>
    <t>Name</t>
  </si>
  <si>
    <t>Abbreviation</t>
  </si>
  <si>
    <t>L</t>
  </si>
  <si>
    <t>Note: Try &amp; collect samples around same couple hour window each day.</t>
  </si>
  <si>
    <t>D4: Weigh mice &amp; collect 2 stool samples for CFU &amp; -80.</t>
  </si>
  <si>
    <t>D3: Weigh mice &amp; collect 2 stool samples for CFU &amp; -80.</t>
  </si>
  <si>
    <t>D2: Weigh mice &amp; collect 2 stool samples for CFU &amp; -80.</t>
  </si>
  <si>
    <t>Saturday</t>
  </si>
  <si>
    <t>Friday</t>
  </si>
  <si>
    <t>Thursday</t>
  </si>
  <si>
    <t>Wednseday</t>
  </si>
  <si>
    <t xml:space="preserve">Tuesday </t>
  </si>
  <si>
    <t>Monday</t>
  </si>
  <si>
    <t>Sunday</t>
  </si>
  <si>
    <t>D1: Weigh mice &amp; collect 2 stool samples for CFU &amp; -80. Autoclave &amp; return gavage needles to 1531</t>
  </si>
  <si>
    <t>Starting Cage Information in B604C:</t>
  </si>
  <si>
    <t>M/F</t>
  </si>
  <si>
    <t>QTY</t>
  </si>
  <si>
    <t>New Group</t>
  </si>
  <si>
    <t>Ear Mark</t>
  </si>
  <si>
    <t>New Cages Mice Go Into</t>
  </si>
  <si>
    <t>Commercial rodent chow: Lab Diet #5LOD</t>
  </si>
  <si>
    <t>F</t>
  </si>
  <si>
    <t xml:space="preserve">B604 Barcode </t>
  </si>
  <si>
    <t>New Cg Card #</t>
  </si>
  <si>
    <t xml:space="preserve">Group </t>
  </si>
  <si>
    <t>Mouse ID</t>
  </si>
  <si>
    <t>Previous Cage #</t>
  </si>
  <si>
    <t>Cage Card #</t>
  </si>
  <si>
    <t>Exp. Start</t>
  </si>
  <si>
    <t>Start Age (Weeks)</t>
  </si>
  <si>
    <t>Exp. End</t>
  </si>
  <si>
    <t>End Age (Weeks)</t>
  </si>
  <si>
    <t>Exp. Length (Days)</t>
  </si>
  <si>
    <t>N</t>
  </si>
  <si>
    <t>1R</t>
  </si>
  <si>
    <t>D2</t>
  </si>
  <si>
    <t>D1</t>
  </si>
  <si>
    <t>D0</t>
  </si>
  <si>
    <t>D-1</t>
  </si>
  <si>
    <t>D3</t>
  </si>
  <si>
    <t>D4</t>
  </si>
  <si>
    <t>D5</t>
  </si>
  <si>
    <t>Tube with sample</t>
  </si>
  <si>
    <t>Empty tube weight</t>
  </si>
  <si>
    <t>water</t>
  </si>
  <si>
    <t>Spore inoculum count (Determined from 100 ul spore inoculum after 20 min of heating at 65C).</t>
  </si>
  <si>
    <t>undiluted</t>
  </si>
  <si>
    <r>
      <t>CFU 10</t>
    </r>
    <r>
      <rPr>
        <vertAlign val="superscript"/>
        <sz val="12"/>
        <color theme="1"/>
        <rFont val="Calibri (Body)"/>
      </rPr>
      <t xml:space="preserve">-1 </t>
    </r>
  </si>
  <si>
    <r>
      <t>CFU 10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/>
    </r>
  </si>
  <si>
    <r>
      <t>CFU 10</t>
    </r>
    <r>
      <rPr>
        <vertAlign val="superscript"/>
        <sz val="12"/>
        <color theme="1"/>
        <rFont val="Calibri (Body)"/>
      </rPr>
      <t>-3</t>
    </r>
    <r>
      <rPr>
        <sz val="12"/>
        <color theme="1"/>
        <rFont val="Calibri"/>
        <family val="2"/>
        <scheme val="minor"/>
      </rPr>
      <t/>
    </r>
  </si>
  <si>
    <r>
      <t>CFU 10</t>
    </r>
    <r>
      <rPr>
        <vertAlign val="superscript"/>
        <sz val="12"/>
        <color theme="1"/>
        <rFont val="Calibri (Body)"/>
      </rPr>
      <t>-4</t>
    </r>
    <r>
      <rPr>
        <sz val="12"/>
        <color theme="1"/>
        <rFont val="Calibri"/>
        <family val="2"/>
        <scheme val="minor"/>
      </rPr>
      <t/>
    </r>
  </si>
  <si>
    <t># of colonies</t>
  </si>
  <si>
    <t>TNTC</t>
  </si>
  <si>
    <t>TNTC: too numerous to count</t>
  </si>
  <si>
    <t>Spore stock calcluation:</t>
  </si>
  <si>
    <t>original dil. x dil. used for colony # x amount plated x # colonies on plate = n spores/ml in your ORIGINAL spore stock</t>
  </si>
  <si>
    <t>Spore inoculum (working stock) calculation:</t>
  </si>
  <si>
    <t>dil. used for colony # x amount plated x # colonies on plate = n spores/ml in your ORIGINAL spore stock</t>
  </si>
  <si>
    <t>Timepoint (day)</t>
  </si>
  <si>
    <t>Date</t>
  </si>
  <si>
    <t>Fecal weight (Empty tube-full tube)</t>
  </si>
  <si>
    <t>Amount Plated</t>
  </si>
  <si>
    <t>Dilution factor: 1/(amount plated/1000 ul)</t>
  </si>
  <si>
    <t>NA</t>
  </si>
  <si>
    <r>
      <t>CFU 10</t>
    </r>
    <r>
      <rPr>
        <vertAlign val="superscript"/>
        <sz val="12"/>
        <color theme="1"/>
        <rFont val="Calibri (Body)"/>
      </rPr>
      <t>-1</t>
    </r>
  </si>
  <si>
    <t>Avg CFU (for those mice with counts across multiple dilutions)</t>
  </si>
  <si>
    <t>PBS</t>
  </si>
  <si>
    <t>NT</t>
  </si>
  <si>
    <t>Cefoperazone: 0.5mg/mL</t>
  </si>
  <si>
    <t>Stool 1:100</t>
  </si>
  <si>
    <t>D-5: Replace cef water</t>
  </si>
  <si>
    <t>D5: Weigh mice &amp; collect 2 stool samples for CFU &amp; -80.</t>
  </si>
  <si>
    <t>C57-108,97</t>
  </si>
  <si>
    <t>C57-110</t>
  </si>
  <si>
    <t>C57-105</t>
  </si>
  <si>
    <t>2/21, 2/23/19</t>
  </si>
  <si>
    <t>M</t>
  </si>
  <si>
    <t>"1:10^2"</t>
  </si>
  <si>
    <t>Full</t>
  </si>
  <si>
    <t>Mid</t>
  </si>
  <si>
    <t>Low</t>
  </si>
  <si>
    <t>unique_id</t>
  </si>
  <si>
    <t>R</t>
  </si>
  <si>
    <t>0, R</t>
  </si>
  <si>
    <t>group</t>
  </si>
  <si>
    <t>D-2</t>
  </si>
  <si>
    <t>D6</t>
  </si>
  <si>
    <t>D7</t>
  </si>
  <si>
    <t>D8</t>
  </si>
  <si>
    <t>D9</t>
  </si>
  <si>
    <t>D10</t>
  </si>
  <si>
    <t>Label</t>
  </si>
  <si>
    <t>1 tubes of 1000 ul total , add 970 ul ultrapure distilled water and 30 ul stock 630 stock (4C in 1504)</t>
  </si>
  <si>
    <t>1/24/19 josh prepaed stock</t>
  </si>
  <si>
    <t>conc</t>
  </si>
  <si>
    <t>volume</t>
  </si>
  <si>
    <t>desired working</t>
  </si>
  <si>
    <t>in 970 distilled</t>
  </si>
  <si>
    <t># spores in 25uL</t>
  </si>
  <si>
    <t>DNP</t>
  </si>
  <si>
    <r>
      <t>1:10 diltuion (ul PBS) to make 10</t>
    </r>
    <r>
      <rPr>
        <b/>
        <vertAlign val="superscript"/>
        <sz val="12"/>
        <color rgb="FF000000"/>
        <rFont val="Calibri (Body)"/>
      </rPr>
      <t>-1</t>
    </r>
    <r>
      <rPr>
        <b/>
        <sz val="12"/>
        <color rgb="FF000000"/>
        <rFont val="Calibri"/>
        <family val="2"/>
        <scheme val="minor"/>
      </rPr>
      <t xml:space="preserve"> diltuion (Fecal weight x 9000)</t>
    </r>
  </si>
  <si>
    <r>
      <t>CFU Counts (18-24hr post plating) CFU 10</t>
    </r>
    <r>
      <rPr>
        <b/>
        <vertAlign val="superscript"/>
        <sz val="12"/>
        <color rgb="FF000000"/>
        <rFont val="Calibri (Body)"/>
      </rPr>
      <t>-1</t>
    </r>
    <r>
      <rPr>
        <b/>
        <sz val="12"/>
        <color rgb="FF000000"/>
        <rFont val="Calibri"/>
        <family val="2"/>
        <scheme val="minor"/>
      </rPr>
      <t xml:space="preserve"> diltuion </t>
    </r>
  </si>
  <si>
    <r>
      <t>CFU 10</t>
    </r>
    <r>
      <rPr>
        <b/>
        <vertAlign val="superscript"/>
        <sz val="12"/>
        <color rgb="FF000000"/>
        <rFont val="Calibri (Body)"/>
      </rPr>
      <t>-2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</si>
  <si>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-3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</si>
  <si>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-4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</si>
  <si>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-5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</si>
  <si>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-6</t>
    </r>
    <r>
      <rPr>
        <b/>
        <sz val="12"/>
        <color rgb="FF000000"/>
        <rFont val="Calibri"/>
        <family val="2"/>
        <scheme val="minor"/>
      </rPr>
      <t xml:space="preserve"> diltuion</t>
    </r>
  </si>
  <si>
    <t>exp</t>
  </si>
  <si>
    <t>D-9</t>
  </si>
  <si>
    <t>D-4</t>
  </si>
  <si>
    <t>B604C</t>
  </si>
  <si>
    <t>C57BL</t>
  </si>
  <si>
    <t>C57-106</t>
  </si>
  <si>
    <t>C57-98</t>
  </si>
  <si>
    <t>nt_2_1</t>
  </si>
  <si>
    <t>nt_2_2</t>
  </si>
  <si>
    <t>f_2_1</t>
  </si>
  <si>
    <t>f_2_2</t>
  </si>
  <si>
    <t>m_2_1</t>
  </si>
  <si>
    <t>m_2_2</t>
  </si>
  <si>
    <t>l_2_1</t>
  </si>
  <si>
    <t>l_2_2</t>
  </si>
  <si>
    <t>Stool 1:10</t>
  </si>
  <si>
    <t>Stool 1:1000</t>
  </si>
  <si>
    <t>10^-1</t>
  </si>
  <si>
    <t>10^-3</t>
  </si>
  <si>
    <t>10^-5</t>
  </si>
  <si>
    <t xml:space="preserve">C. difficile CFU/g sample (from 10-1 diltuion) </t>
  </si>
  <si>
    <t xml:space="preserve">C. difficile CFU/g sample (from 10-2 diltuion) </t>
  </si>
  <si>
    <t xml:space="preserve">C. difficile CFU/g sample (from 10-3 diltuion) </t>
  </si>
  <si>
    <t xml:space="preserve">C. difficile CFU/g sample (from 10-4 diltuion) </t>
  </si>
  <si>
    <t xml:space="preserve">C. difficile CFU/g sample (from 10-5 diltuion) </t>
  </si>
  <si>
    <t xml:space="preserve">C. difficile CFU/g sample (from 10-6 diltuion) </t>
  </si>
  <si>
    <t>D-7: Replace cef water</t>
  </si>
  <si>
    <t>D-2: Collect stool and weigh mouse. Change cages. Needles needed. Inoculate mice with fecal dilution treatment.</t>
  </si>
  <si>
    <t>D0: Move mice to Biocontainment. Weigh mice &amp; collect 2 stool samples for CFU and -80. Change cages. Needles needed. Inoculate with C. difficile</t>
  </si>
  <si>
    <t>D-9:  Ear punch and weigh mice + collect stool sample, put into exp. Group cages. Change water to cef water (0.5mg/ml). Change cages.</t>
  </si>
  <si>
    <t>D-4: Collect stool + weigh mice. Change cages. Change cef water back to normal water (lixit)</t>
  </si>
  <si>
    <t>NT #2</t>
  </si>
  <si>
    <t>F #2</t>
  </si>
  <si>
    <t>M #2</t>
  </si>
  <si>
    <t>L #2</t>
  </si>
  <si>
    <t>Counts, determined ~24 hours after 37C incubation on 4/30/19</t>
  </si>
  <si>
    <t>Plated remaining inoculum after gavaging mice on 5/1/19</t>
  </si>
  <si>
    <t>Counts, determined ~24 hours after 37C incubation on 5/2/19</t>
  </si>
  <si>
    <t xml:space="preserve">Prepared spore inoculum (working stock "630 10^7") on 4/29/19, in 1531 hood </t>
  </si>
  <si>
    <t>FMT</t>
  </si>
  <si>
    <t>Collected stool from 10 male mice ~7-11 weeks old</t>
  </si>
  <si>
    <t>C57-96, 109</t>
  </si>
  <si>
    <t>1/25, 1/29/19</t>
  </si>
  <si>
    <t>C57 96, 113</t>
  </si>
  <si>
    <t>3/11, 3/12/19</t>
  </si>
  <si>
    <t>Room</t>
  </si>
  <si>
    <t>Strain</t>
  </si>
  <si>
    <t>Male</t>
  </si>
  <si>
    <t>Age (Weeks)</t>
  </si>
  <si>
    <t>Collected ~16 fecal pellets</t>
  </si>
  <si>
    <t>Weigh 0.5286 g</t>
  </si>
  <si>
    <t>Added 3965 uL PBS and homogenized fecal pellet</t>
  </si>
  <si>
    <t>Attempted to filter large particle by passing solution through 40 um cell filter but, nothing would pass through the filter, so when aliquoting I tried to not pipette large particles</t>
  </si>
  <si>
    <t>Added 793 uL glycerol</t>
  </si>
  <si>
    <t>Full FMT (1:10)</t>
  </si>
  <si>
    <t xml:space="preserve">F </t>
  </si>
  <si>
    <t>Diluted feces into PBS and added 15% glycerol</t>
  </si>
  <si>
    <t>Mid FMT (1:100)</t>
  </si>
  <si>
    <t>Diluted 100uL of 1:10 dilution into 150uL glycerol + 750 uL PBS</t>
  </si>
  <si>
    <t>Low FMT (1:1000)</t>
  </si>
  <si>
    <t>Diluted 100uL of 1:100 dilution into 150uL glycerol + 750 uL PBS</t>
  </si>
  <si>
    <t>Aliquoted into 3 tubes for storage at -80C, 500uL for inocula/sample for sequences</t>
  </si>
  <si>
    <t>Aliquoted 500uL into tube for storage at -80C, 500uL for inocula/sample for sequences for 4/29/19</t>
  </si>
  <si>
    <t>D0 - 5/1/19</t>
  </si>
  <si>
    <t>D1 - 5/2/19</t>
  </si>
  <si>
    <t>D2 - 5/3/19</t>
  </si>
  <si>
    <t>D3 - 5/4/19</t>
  </si>
  <si>
    <t>D4 - 5/5/19</t>
  </si>
  <si>
    <t>D5 - 5/6/19</t>
  </si>
  <si>
    <t>"1:10"</t>
  </si>
  <si>
    <t>"1:10^3"</t>
  </si>
  <si>
    <t>FMT #2</t>
  </si>
  <si>
    <t>D-1: Collect stool and weigh mouse. Needles needed. Inoculate mice with fecal dilution treatment.</t>
  </si>
  <si>
    <r>
      <t>Diluted 10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through 10</t>
    </r>
    <r>
      <rPr>
        <vertAlign val="superscript"/>
        <sz val="12"/>
        <color theme="1"/>
        <rFont val="Calibri (Body)"/>
      </rPr>
      <t>-4</t>
    </r>
    <r>
      <rPr>
        <sz val="12"/>
        <color theme="1"/>
        <rFont val="Calibri"/>
        <family val="2"/>
        <scheme val="minor"/>
      </rPr>
      <t>. Plated 50ul per half plate for 10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10-4.</t>
    </r>
  </si>
  <si>
    <t>dilution</t>
  </si>
  <si>
    <t>amount plated</t>
  </si>
  <si>
    <t>2 log lower than expected, possibly due to longer heating. I placed the spore count test aliquot on heating before it was up to temp and took time for it to get upto exactly 65 so was around 65C for ~1 hour, so repeated plating on 4/30 of the spore inoculum (without heating)</t>
  </si>
  <si>
    <t>desired vol</t>
  </si>
  <si>
    <t>UP water</t>
  </si>
  <si>
    <t>630 stock</t>
  </si>
  <si>
    <t>no heating (since our post inoculation won't be heated)</t>
  </si>
  <si>
    <t>mouse_id</t>
  </si>
  <si>
    <t>ear_mark</t>
  </si>
  <si>
    <t>date</t>
  </si>
  <si>
    <t>day</t>
  </si>
  <si>
    <t>Lower weight of tube due to tube top lip broke off</t>
  </si>
  <si>
    <t>change food yo 5LOD, cage, to abx water</t>
  </si>
  <si>
    <t>change cage and water back to lixit</t>
  </si>
  <si>
    <t>change cage</t>
  </si>
  <si>
    <t>abx</t>
  </si>
  <si>
    <t>fmt</t>
  </si>
  <si>
    <t>c diff</t>
  </si>
  <si>
    <t>change cage and food</t>
  </si>
  <si>
    <t>collected in order NT,L,M,F</t>
  </si>
  <si>
    <t>weight</t>
  </si>
  <si>
    <t>cfu</t>
  </si>
  <si>
    <t>Is observation of F treatment due to time since initial inoculation</t>
  </si>
  <si>
    <t>Is observation of F treatment success due to presence of low abundance species</t>
  </si>
  <si>
    <t>Is effect due to most abundant species</t>
  </si>
  <si>
    <t>Is effect due to size of populations?</t>
  </si>
  <si>
    <t>If so we would expect similar time from initial fmt to clearance, and there is ~1-2 day difference</t>
  </si>
  <si>
    <t>If so we would expect the full fmt to work but not lower dilutuions, but could also be attributed to other effects</t>
  </si>
  <si>
    <t>If so we would expect all dilutions to work, unless the population size matters and lower dilutions need more time to colonize</t>
  </si>
  <si>
    <t>Could we use selective enrichment? How to select and pick? Look at articles sarah sent</t>
  </si>
  <si>
    <t xml:space="preserve">5 plates used were not completely anaerobic (moved plates in ~ an hour prior to plating), I used the anaerobic plates for the dilutions I thought were most important based on the prior day cfu </t>
  </si>
  <si>
    <t>diluted into volume of Lr</t>
  </si>
  <si>
    <t>diluted into volume of L0</t>
  </si>
  <si>
    <t>Next exp</t>
  </si>
  <si>
    <t>Selective enrichment?</t>
  </si>
  <si>
    <t>try again to provide colonization resistance</t>
  </si>
  <si>
    <t>antibiotic</t>
  </si>
  <si>
    <t>Cefoperazone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</si>
</sst>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0"/>
      <name val="Arial"/>
      <family val="2"/>
    </font>
    <font>
      <vertAlign val="superscript"/>
      <sz val="12"/>
      <color theme="1"/>
      <name val="Calibri (Body)"/>
    </font>
    <font>
      <sz val="11"/>
      <color theme="1"/>
      <name val="Calibri"/>
      <family val="2"/>
    </font>
    <font>
      <b/>
      <vertAlign val="superscript"/>
      <sz val="12"/>
      <color rgb="FF000000"/>
      <name val="Calibri (Body)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3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1"/>
    <xf numFmtId="0" fontId="4" fillId="0" borderId="0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6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3" fillId="0" borderId="0" xfId="1" applyFont="1"/>
    <xf numFmtId="0" fontId="4" fillId="0" borderId="0" xfId="1" applyFont="1"/>
    <xf numFmtId="0" fontId="10" fillId="0" borderId="0" xfId="1" applyFont="1" applyAlignment="1">
      <alignment horizontal="right"/>
    </xf>
    <xf numFmtId="2" fontId="0" fillId="0" borderId="0" xfId="0" applyNumberFormat="1"/>
    <xf numFmtId="2" fontId="0" fillId="0" borderId="0" xfId="0" applyNumberFormat="1" applyFill="1" applyBorder="1" applyAlignment="1">
      <alignment horizontal="center"/>
    </xf>
    <xf numFmtId="0" fontId="5" fillId="0" borderId="0" xfId="0" applyFont="1"/>
    <xf numFmtId="16" fontId="0" fillId="0" borderId="1" xfId="0" applyNumberFormat="1" applyBorder="1"/>
    <xf numFmtId="0" fontId="2" fillId="0" borderId="0" xfId="0" applyFont="1"/>
    <xf numFmtId="11" fontId="0" fillId="0" borderId="0" xfId="0" applyNumberFormat="1"/>
    <xf numFmtId="11" fontId="0" fillId="0" borderId="1" xfId="0" applyNumberFormat="1" applyBorder="1"/>
    <xf numFmtId="0" fontId="1" fillId="0" borderId="0" xfId="0" applyFont="1" applyFill="1" applyBorder="1" applyAlignment="1">
      <alignment horizontal="center" wrapText="1"/>
    </xf>
    <xf numFmtId="20" fontId="4" fillId="0" borderId="0" xfId="0" applyNumberFormat="1" applyFont="1"/>
    <xf numFmtId="0" fontId="4" fillId="0" borderId="1" xfId="1" applyFont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4" fillId="0" borderId="0" xfId="1" applyAlignment="1">
      <alignment vertical="center"/>
    </xf>
    <xf numFmtId="14" fontId="2" fillId="0" borderId="0" xfId="0" applyNumberFormat="1" applyFont="1"/>
    <xf numFmtId="0" fontId="0" fillId="2" borderId="1" xfId="0" applyFill="1" applyBorder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2" borderId="8" xfId="0" applyFill="1" applyBorder="1"/>
    <xf numFmtId="0" fontId="0" fillId="0" borderId="8" xfId="0" applyFill="1" applyBorder="1"/>
    <xf numFmtId="0" fontId="12" fillId="0" borderId="1" xfId="0" applyFont="1" applyBorder="1"/>
    <xf numFmtId="14" fontId="12" fillId="0" borderId="1" xfId="0" applyNumberFormat="1" applyFont="1" applyBorder="1"/>
    <xf numFmtId="0" fontId="12" fillId="0" borderId="0" xfId="0" applyFont="1" applyBorder="1"/>
    <xf numFmtId="14" fontId="12" fillId="0" borderId="0" xfId="0" applyNumberFormat="1" applyFont="1" applyBorder="1"/>
    <xf numFmtId="0" fontId="7" fillId="0" borderId="0" xfId="0" applyFont="1" applyFill="1" applyBorder="1"/>
    <xf numFmtId="0" fontId="8" fillId="0" borderId="6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12" fillId="0" borderId="0" xfId="0" applyFont="1"/>
    <xf numFmtId="14" fontId="12" fillId="0" borderId="0" xfId="0" applyNumberFormat="1" applyFont="1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4" fontId="7" fillId="4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4" borderId="3" xfId="0" applyFont="1" applyFill="1" applyBorder="1"/>
    <xf numFmtId="0" fontId="7" fillId="4" borderId="7" xfId="0" applyFont="1" applyFill="1" applyBorder="1"/>
    <xf numFmtId="11" fontId="0" fillId="4" borderId="1" xfId="0" applyNumberFormat="1" applyFill="1" applyBorder="1"/>
    <xf numFmtId="0" fontId="0" fillId="4" borderId="0" xfId="0" applyFill="1"/>
    <xf numFmtId="0" fontId="7" fillId="0" borderId="0" xfId="0" applyFont="1" applyBorder="1"/>
    <xf numFmtId="11" fontId="7" fillId="0" borderId="0" xfId="0" applyNumberFormat="1" applyFont="1" applyBorder="1"/>
    <xf numFmtId="0" fontId="7" fillId="4" borderId="0" xfId="0" applyFont="1" applyFill="1" applyBorder="1"/>
    <xf numFmtId="11" fontId="7" fillId="4" borderId="0" xfId="0" applyNumberFormat="1" applyFont="1" applyFill="1" applyBorder="1"/>
    <xf numFmtId="0" fontId="7" fillId="3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14" fontId="7" fillId="4" borderId="10" xfId="0" applyNumberFormat="1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0" xfId="0" applyFont="1" applyFill="1" applyBorder="1"/>
    <xf numFmtId="0" fontId="7" fillId="4" borderId="10" xfId="0" applyFont="1" applyFill="1" applyBorder="1"/>
    <xf numFmtId="0" fontId="7" fillId="4" borderId="11" xfId="0" applyFont="1" applyFill="1" applyBorder="1"/>
    <xf numFmtId="11" fontId="0" fillId="4" borderId="12" xfId="0" applyNumberFormat="1" applyFill="1" applyBorder="1"/>
    <xf numFmtId="0" fontId="7" fillId="4" borderId="13" xfId="0" applyFont="1" applyFill="1" applyBorder="1"/>
    <xf numFmtId="11" fontId="7" fillId="4" borderId="13" xfId="0" applyNumberFormat="1" applyFont="1" applyFill="1" applyBorder="1"/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7" fillId="0" borderId="14" xfId="0" applyFont="1" applyBorder="1"/>
    <xf numFmtId="11" fontId="7" fillId="0" borderId="14" xfId="0" applyNumberFormat="1" applyFont="1" applyBorder="1"/>
    <xf numFmtId="14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1" fontId="7" fillId="0" borderId="0" xfId="0" applyNumberFormat="1" applyFont="1" applyFill="1" applyBorder="1"/>
    <xf numFmtId="14" fontId="7" fillId="4" borderId="12" xfId="0" applyNumberFormat="1" applyFont="1" applyFill="1" applyBorder="1" applyAlignment="1">
      <alignment horizontal="center"/>
    </xf>
    <xf numFmtId="0" fontId="4" fillId="0" borderId="0" xfId="1" applyBorder="1"/>
    <xf numFmtId="0" fontId="3" fillId="0" borderId="0" xfId="1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6" fontId="4" fillId="0" borderId="0" xfId="1" applyNumberFormat="1"/>
    <xf numFmtId="0" fontId="14" fillId="0" borderId="0" xfId="0" applyFont="1"/>
    <xf numFmtId="0" fontId="3" fillId="0" borderId="0" xfId="1" applyFont="1" applyAlignment="1">
      <alignment horizontal="right"/>
    </xf>
    <xf numFmtId="0" fontId="0" fillId="0" borderId="1" xfId="0" applyNumberFormat="1" applyBorder="1"/>
    <xf numFmtId="0" fontId="0" fillId="0" borderId="0" xfId="0" applyNumberFormat="1"/>
    <xf numFmtId="16" fontId="0" fillId="0" borderId="0" xfId="0" applyNumberFormat="1"/>
    <xf numFmtId="16" fontId="0" fillId="0" borderId="5" xfId="0" applyNumberFormat="1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Border="1" applyAlignment="1">
      <alignment horizontal="center"/>
    </xf>
    <xf numFmtId="11" fontId="0" fillId="0" borderId="0" xfId="0" applyNumberFormat="1" applyBorder="1"/>
    <xf numFmtId="2" fontId="0" fillId="0" borderId="8" xfId="0" applyNumberFormat="1" applyBorder="1"/>
    <xf numFmtId="11" fontId="0" fillId="0" borderId="4" xfId="0" applyNumberFormat="1" applyBorder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14" fontId="0" fillId="0" borderId="0" xfId="0" applyNumberFormat="1"/>
    <xf numFmtId="0" fontId="3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 xr:uid="{43518CBB-F662-064F-882F-9A9CB87714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8FC2-E72C-DE45-AF56-99AB6C2CCC1E}">
  <dimension ref="A1:D8"/>
  <sheetViews>
    <sheetView workbookViewId="0">
      <selection activeCell="B6" sqref="B6"/>
    </sheetView>
  </sheetViews>
  <sheetFormatPr baseColWidth="10" defaultRowHeight="16"/>
  <cols>
    <col min="2" max="2" width="53.6640625" bestFit="1" customWidth="1"/>
    <col min="4" max="4" width="5.6640625" bestFit="1" customWidth="1"/>
  </cols>
  <sheetData>
    <row r="1" spans="1:4">
      <c r="A1" t="s">
        <v>5</v>
      </c>
      <c r="B1" s="2" t="s">
        <v>6</v>
      </c>
      <c r="C1" s="2" t="s">
        <v>7</v>
      </c>
      <c r="D1" s="2" t="s">
        <v>98</v>
      </c>
    </row>
    <row r="2" spans="1:4">
      <c r="A2" s="3"/>
      <c r="B2" t="s">
        <v>73</v>
      </c>
      <c r="C2" s="4" t="s">
        <v>74</v>
      </c>
      <c r="D2" s="5" t="s">
        <v>74</v>
      </c>
    </row>
    <row r="3" spans="1:4">
      <c r="B3" t="s">
        <v>129</v>
      </c>
      <c r="C3" s="41" t="s">
        <v>131</v>
      </c>
      <c r="D3" s="6" t="s">
        <v>85</v>
      </c>
    </row>
    <row r="4" spans="1:4">
      <c r="B4" t="s">
        <v>76</v>
      </c>
      <c r="C4" s="41" t="s">
        <v>132</v>
      </c>
      <c r="D4" s="5" t="s">
        <v>86</v>
      </c>
    </row>
    <row r="5" spans="1:4">
      <c r="B5" t="s">
        <v>130</v>
      </c>
      <c r="C5" s="41" t="s">
        <v>133</v>
      </c>
      <c r="D5" s="6" t="s">
        <v>87</v>
      </c>
    </row>
    <row r="6" spans="1:4">
      <c r="B6" t="s">
        <v>75</v>
      </c>
      <c r="C6" s="4"/>
    </row>
    <row r="7" spans="1:4">
      <c r="C7" s="4"/>
    </row>
    <row r="8" spans="1:4">
      <c r="C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7F14-AC59-B943-8B3A-8FB3DD1292DA}">
  <sheetPr>
    <pageSetUpPr fitToPage="1"/>
  </sheetPr>
  <dimension ref="A1:Z29"/>
  <sheetViews>
    <sheetView workbookViewId="0">
      <selection activeCell="B20" sqref="B20"/>
    </sheetView>
  </sheetViews>
  <sheetFormatPr baseColWidth="10" defaultRowHeight="16"/>
  <cols>
    <col min="1" max="1" width="16" bestFit="1" customWidth="1"/>
  </cols>
  <sheetData>
    <row r="1" spans="1:26">
      <c r="A1" s="30" t="s">
        <v>153</v>
      </c>
      <c r="B1" s="7"/>
      <c r="C1" s="7"/>
      <c r="D1" s="7"/>
      <c r="E1" s="7"/>
    </row>
    <row r="2" spans="1:26">
      <c r="A2" s="114">
        <v>43584</v>
      </c>
      <c r="B2" s="7" t="s">
        <v>154</v>
      </c>
      <c r="C2" s="7"/>
      <c r="D2" s="7"/>
      <c r="E2" s="7"/>
    </row>
    <row r="3" spans="1:26">
      <c r="A3" s="31"/>
      <c r="B3" s="115" t="s">
        <v>1</v>
      </c>
      <c r="C3" s="115" t="s">
        <v>2</v>
      </c>
      <c r="D3" s="115" t="s">
        <v>3</v>
      </c>
      <c r="E3" s="115" t="s">
        <v>159</v>
      </c>
      <c r="F3" s="115" t="s">
        <v>160</v>
      </c>
      <c r="G3" s="115" t="s">
        <v>161</v>
      </c>
      <c r="H3" s="115" t="s">
        <v>162</v>
      </c>
      <c r="I3" s="115"/>
      <c r="J3" s="115"/>
      <c r="K3" s="115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>
      <c r="A4" s="30"/>
      <c r="B4" s="65" t="s">
        <v>155</v>
      </c>
      <c r="C4" s="65" t="s">
        <v>156</v>
      </c>
      <c r="D4" s="45">
        <v>43517</v>
      </c>
      <c r="E4" s="37" t="s">
        <v>117</v>
      </c>
      <c r="F4" s="37" t="s">
        <v>118</v>
      </c>
      <c r="G4" s="37">
        <v>3</v>
      </c>
      <c r="H4" s="37">
        <v>12.85714286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>
      <c r="A5" s="30"/>
      <c r="B5" s="65" t="s">
        <v>0</v>
      </c>
      <c r="C5" s="66">
        <v>43512</v>
      </c>
      <c r="D5" s="45">
        <v>43531</v>
      </c>
      <c r="E5" s="37" t="s">
        <v>117</v>
      </c>
      <c r="F5" s="37" t="s">
        <v>118</v>
      </c>
      <c r="G5" s="37">
        <v>3</v>
      </c>
      <c r="H5" s="37">
        <v>10.28571429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>
      <c r="A6" s="32"/>
      <c r="B6" s="37" t="s">
        <v>157</v>
      </c>
      <c r="C6" s="37" t="s">
        <v>158</v>
      </c>
      <c r="D6" s="45">
        <v>43560</v>
      </c>
      <c r="E6" s="37" t="s">
        <v>117</v>
      </c>
      <c r="F6" s="37" t="s">
        <v>118</v>
      </c>
      <c r="G6" s="37">
        <v>4</v>
      </c>
      <c r="H6" s="37">
        <v>6.8571428570000004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>
      <c r="A7" s="7"/>
      <c r="B7" s="7" t="s">
        <v>163</v>
      </c>
      <c r="C7" s="7"/>
      <c r="D7" s="7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26">
      <c r="A8" s="30"/>
      <c r="B8" s="7" t="s">
        <v>164</v>
      </c>
      <c r="C8" s="7"/>
      <c r="D8" s="7"/>
      <c r="E8" s="24"/>
      <c r="F8" s="24"/>
      <c r="G8" s="108"/>
      <c r="H8" s="24"/>
      <c r="I8" s="24"/>
      <c r="J8" s="24"/>
      <c r="K8" s="24"/>
      <c r="L8" s="24"/>
      <c r="M8" s="24"/>
      <c r="N8" s="24"/>
      <c r="O8" s="24"/>
    </row>
    <row r="9" spans="1:26">
      <c r="A9" s="116" t="s">
        <v>169</v>
      </c>
      <c r="D9" s="7"/>
      <c r="E9" s="24"/>
      <c r="F9" s="24"/>
      <c r="G9" s="24"/>
      <c r="H9" s="107"/>
      <c r="I9" s="107"/>
      <c r="J9" s="24"/>
      <c r="K9" s="24"/>
      <c r="L9" s="24"/>
      <c r="M9" s="24"/>
      <c r="N9" s="24"/>
      <c r="O9" s="24"/>
    </row>
    <row r="10" spans="1:26">
      <c r="A10" t="s">
        <v>168</v>
      </c>
      <c r="B10" s="7" t="s">
        <v>170</v>
      </c>
      <c r="C10" s="7"/>
      <c r="E10" s="109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1:26">
      <c r="C11" t="s">
        <v>165</v>
      </c>
      <c r="E11" s="34"/>
      <c r="F11" s="24"/>
      <c r="G11" s="24"/>
      <c r="H11" s="107"/>
      <c r="I11" s="107"/>
      <c r="J11" s="24"/>
      <c r="K11" s="24"/>
      <c r="L11" s="24"/>
      <c r="M11" s="24"/>
      <c r="N11" s="24"/>
      <c r="O11" s="24"/>
    </row>
    <row r="12" spans="1:26">
      <c r="C12" t="s">
        <v>166</v>
      </c>
      <c r="E12" s="24"/>
      <c r="F12" s="24"/>
      <c r="G12" s="24"/>
      <c r="H12" s="110"/>
      <c r="I12" s="110"/>
      <c r="J12" s="111"/>
      <c r="K12" s="112"/>
      <c r="L12" s="24"/>
      <c r="M12" s="24"/>
      <c r="N12" s="24"/>
      <c r="O12" s="24"/>
    </row>
    <row r="13" spans="1:26">
      <c r="C13" t="s">
        <v>167</v>
      </c>
      <c r="E13" s="24"/>
      <c r="F13" s="24"/>
      <c r="G13" s="24"/>
      <c r="H13" s="110"/>
      <c r="I13" s="110"/>
      <c r="J13" s="111"/>
      <c r="K13" s="112"/>
      <c r="L13" s="24"/>
      <c r="M13" s="24"/>
      <c r="N13" s="24"/>
      <c r="O13" s="24"/>
    </row>
    <row r="14" spans="1:26">
      <c r="C14" t="s">
        <v>175</v>
      </c>
      <c r="E14" s="24"/>
      <c r="F14" s="24"/>
      <c r="G14" s="24"/>
      <c r="H14" s="110"/>
      <c r="I14" s="24"/>
      <c r="J14" s="110"/>
      <c r="K14" s="113"/>
      <c r="L14" s="24"/>
      <c r="M14" s="24"/>
      <c r="N14" s="24"/>
      <c r="O14" s="24"/>
    </row>
    <row r="15" spans="1:26">
      <c r="A15" s="22" t="s">
        <v>83</v>
      </c>
      <c r="E15" s="24"/>
      <c r="F15" s="24"/>
      <c r="G15" s="24"/>
      <c r="H15" s="110"/>
      <c r="I15" s="24"/>
      <c r="J15" s="110"/>
      <c r="K15" s="113"/>
      <c r="L15" s="24"/>
      <c r="M15" s="24"/>
      <c r="N15" s="24"/>
      <c r="O15" s="24"/>
    </row>
    <row r="16" spans="1:26">
      <c r="A16" t="s">
        <v>171</v>
      </c>
      <c r="B16" t="s">
        <v>172</v>
      </c>
      <c r="E16" s="24"/>
      <c r="F16" s="24"/>
      <c r="G16" s="24"/>
      <c r="H16" s="110"/>
      <c r="I16" s="24"/>
      <c r="J16" s="110"/>
      <c r="K16" s="113"/>
      <c r="L16" s="24"/>
      <c r="M16" s="24"/>
      <c r="N16" s="24"/>
      <c r="O16" s="24"/>
    </row>
    <row r="17" spans="1:15">
      <c r="B17" t="s">
        <v>176</v>
      </c>
      <c r="E17" s="24"/>
      <c r="F17" s="24"/>
      <c r="G17" s="24"/>
      <c r="H17" s="110"/>
      <c r="I17" s="24"/>
      <c r="J17" s="110"/>
      <c r="K17" s="113"/>
      <c r="L17" s="24"/>
      <c r="M17" s="24"/>
      <c r="N17" s="24"/>
      <c r="O17" s="24"/>
    </row>
    <row r="18" spans="1:15">
      <c r="A18" s="22" t="s">
        <v>8</v>
      </c>
      <c r="E18" s="24"/>
      <c r="F18" s="24"/>
      <c r="G18" s="24"/>
      <c r="H18" s="110"/>
      <c r="I18" s="24"/>
      <c r="J18" s="110"/>
      <c r="K18" s="113"/>
      <c r="L18" s="24"/>
      <c r="M18" s="24"/>
      <c r="N18" s="24"/>
      <c r="O18" s="24"/>
    </row>
    <row r="19" spans="1:15">
      <c r="A19" t="s">
        <v>173</v>
      </c>
      <c r="B19" t="s">
        <v>174</v>
      </c>
      <c r="E19" s="24"/>
      <c r="F19" s="24"/>
      <c r="G19" s="24"/>
      <c r="H19" s="110"/>
      <c r="I19" s="24"/>
      <c r="J19" s="110"/>
      <c r="K19" s="113"/>
      <c r="L19" s="24"/>
      <c r="M19" s="24"/>
      <c r="N19" s="24"/>
      <c r="O19" s="24"/>
    </row>
    <row r="20" spans="1:15">
      <c r="B20" t="s">
        <v>176</v>
      </c>
      <c r="E20" s="24"/>
      <c r="F20" s="24"/>
      <c r="G20" s="24"/>
      <c r="H20" s="110"/>
      <c r="I20" s="24"/>
      <c r="J20" s="110"/>
      <c r="K20" s="113"/>
      <c r="L20" s="24"/>
      <c r="M20" s="24"/>
      <c r="N20" s="24"/>
      <c r="O20" s="24"/>
    </row>
    <row r="21" spans="1:15">
      <c r="E21" s="24"/>
      <c r="F21" s="24"/>
      <c r="G21" s="24"/>
      <c r="H21" s="24"/>
      <c r="I21" s="24"/>
      <c r="J21" s="24"/>
      <c r="K21" s="109"/>
      <c r="L21" s="24"/>
      <c r="M21" s="24"/>
      <c r="N21" s="24"/>
      <c r="O21" s="24"/>
    </row>
    <row r="22" spans="1:15">
      <c r="E22" s="24"/>
      <c r="F22" s="24"/>
      <c r="G22" s="24"/>
      <c r="H22" s="24"/>
      <c r="I22" s="24"/>
      <c r="J22" s="24"/>
      <c r="K22" s="34"/>
      <c r="L22" s="24"/>
      <c r="M22" s="24"/>
      <c r="N22" s="24"/>
      <c r="O22" s="24"/>
    </row>
    <row r="23" spans="1:1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1:15"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5"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1:15"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</sheetData>
  <pageMargins left="0.7" right="0.7" top="0.75" bottom="0.75" header="0.3" footer="0.3"/>
  <pageSetup scale="8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A378-FFD5-0C41-A99D-48AF3837D82C}">
  <sheetPr>
    <pageSetUpPr fitToPage="1"/>
  </sheetPr>
  <dimension ref="A1:G6"/>
  <sheetViews>
    <sheetView workbookViewId="0">
      <selection activeCell="A8" sqref="A8"/>
    </sheetView>
  </sheetViews>
  <sheetFormatPr baseColWidth="10" defaultColWidth="8.83203125" defaultRowHeight="13"/>
  <cols>
    <col min="1" max="7" width="20.83203125" style="7" customWidth="1"/>
    <col min="8" max="16384" width="8.83203125" style="7"/>
  </cols>
  <sheetData>
    <row r="1" spans="1:7">
      <c r="A1" s="10" t="s">
        <v>19</v>
      </c>
      <c r="B1" s="10" t="s">
        <v>18</v>
      </c>
      <c r="C1" s="10" t="s">
        <v>17</v>
      </c>
      <c r="D1" s="10" t="s">
        <v>16</v>
      </c>
      <c r="E1" s="10" t="s">
        <v>15</v>
      </c>
      <c r="F1" s="10" t="s">
        <v>14</v>
      </c>
      <c r="G1" s="10" t="s">
        <v>13</v>
      </c>
    </row>
    <row r="2" spans="1:7" s="44" customFormat="1" ht="91" customHeight="1">
      <c r="A2" s="42"/>
      <c r="B2" s="43" t="s">
        <v>143</v>
      </c>
      <c r="D2" s="42" t="s">
        <v>140</v>
      </c>
      <c r="F2" s="42" t="s">
        <v>77</v>
      </c>
      <c r="G2" s="42" t="s">
        <v>144</v>
      </c>
    </row>
    <row r="3" spans="1:7" s="44" customFormat="1" ht="98">
      <c r="B3" s="42" t="s">
        <v>141</v>
      </c>
      <c r="C3" s="42" t="s">
        <v>186</v>
      </c>
      <c r="D3" s="42" t="s">
        <v>142</v>
      </c>
      <c r="E3" s="42" t="s">
        <v>20</v>
      </c>
      <c r="F3" s="42" t="s">
        <v>12</v>
      </c>
      <c r="G3" s="42" t="s">
        <v>11</v>
      </c>
    </row>
    <row r="4" spans="1:7" ht="59" customHeight="1">
      <c r="A4" s="9" t="s">
        <v>10</v>
      </c>
      <c r="B4" s="9" t="s">
        <v>78</v>
      </c>
      <c r="C4" s="9"/>
      <c r="D4" s="9"/>
      <c r="E4" s="9"/>
      <c r="F4" s="9"/>
      <c r="G4" s="9"/>
    </row>
    <row r="6" spans="1:7" ht="56">
      <c r="A6" s="8" t="s">
        <v>9</v>
      </c>
    </row>
  </sheetData>
  <pageMargins left="0.25" right="0.25" top="0.75" bottom="0.75" header="0.3" footer="0.3"/>
  <pageSetup scale="86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D62F-7C53-C243-8EC4-CA672EC2421B}">
  <sheetPr>
    <pageSetUpPr fitToPage="1"/>
  </sheetPr>
  <dimension ref="A1:M14"/>
  <sheetViews>
    <sheetView workbookViewId="0">
      <selection activeCell="H14" sqref="H14"/>
    </sheetView>
  </sheetViews>
  <sheetFormatPr baseColWidth="10" defaultRowHeight="16"/>
  <sheetData>
    <row r="1" spans="1:13">
      <c r="A1" t="s">
        <v>21</v>
      </c>
    </row>
    <row r="2" spans="1:13">
      <c r="A2" s="2" t="s">
        <v>3</v>
      </c>
      <c r="B2" s="2" t="s">
        <v>22</v>
      </c>
      <c r="C2" s="2" t="s">
        <v>23</v>
      </c>
      <c r="D2" s="2" t="s">
        <v>2</v>
      </c>
      <c r="E2" s="2" t="s">
        <v>1</v>
      </c>
      <c r="F2" s="2" t="s">
        <v>29</v>
      </c>
      <c r="G2" s="131" t="s">
        <v>24</v>
      </c>
      <c r="H2" s="131"/>
      <c r="I2" s="131"/>
      <c r="J2" s="131"/>
      <c r="K2" s="131"/>
      <c r="L2" s="2" t="s">
        <v>25</v>
      </c>
      <c r="M2" s="22" t="s">
        <v>26</v>
      </c>
    </row>
    <row r="3" spans="1:13">
      <c r="A3" s="45">
        <v>43531</v>
      </c>
      <c r="B3" s="17" t="s">
        <v>83</v>
      </c>
      <c r="C3" s="1">
        <v>2</v>
      </c>
      <c r="D3" s="54">
        <v>43512</v>
      </c>
      <c r="E3" s="53" t="s">
        <v>0</v>
      </c>
      <c r="F3" s="12"/>
      <c r="G3" s="17"/>
      <c r="H3" s="17"/>
      <c r="I3" s="17" t="s">
        <v>86</v>
      </c>
      <c r="J3" s="17"/>
      <c r="K3" s="17"/>
      <c r="L3" s="17" t="s">
        <v>90</v>
      </c>
      <c r="M3" s="17"/>
    </row>
    <row r="4" spans="1:13">
      <c r="A4" s="45">
        <v>43531</v>
      </c>
      <c r="B4" s="17" t="s">
        <v>83</v>
      </c>
      <c r="C4" s="1">
        <v>2</v>
      </c>
      <c r="D4" s="54">
        <v>43511</v>
      </c>
      <c r="E4" s="53" t="s">
        <v>79</v>
      </c>
      <c r="F4" s="12"/>
      <c r="G4" s="17"/>
      <c r="H4" s="17"/>
      <c r="I4" s="17" t="s">
        <v>85</v>
      </c>
      <c r="J4" s="17"/>
      <c r="K4" s="17"/>
      <c r="L4" s="17" t="s">
        <v>90</v>
      </c>
      <c r="M4" s="17"/>
    </row>
    <row r="5" spans="1:13">
      <c r="A5" s="45">
        <v>43542</v>
      </c>
      <c r="B5" s="17" t="s">
        <v>83</v>
      </c>
      <c r="C5" s="1">
        <v>2</v>
      </c>
      <c r="D5" s="54">
        <v>43521</v>
      </c>
      <c r="E5" s="53" t="s">
        <v>80</v>
      </c>
      <c r="F5" s="12"/>
      <c r="G5" s="17"/>
      <c r="H5" s="17"/>
      <c r="I5" s="17" t="s">
        <v>74</v>
      </c>
      <c r="J5" s="17"/>
      <c r="K5" s="17"/>
      <c r="L5" s="17" t="s">
        <v>90</v>
      </c>
      <c r="M5" s="17"/>
    </row>
    <row r="6" spans="1:13">
      <c r="A6" s="45">
        <v>43542</v>
      </c>
      <c r="B6" s="17" t="s">
        <v>83</v>
      </c>
      <c r="C6" s="1">
        <v>2</v>
      </c>
      <c r="D6" s="53" t="s">
        <v>82</v>
      </c>
      <c r="E6" s="53" t="s">
        <v>81</v>
      </c>
      <c r="F6" s="12"/>
      <c r="G6" s="17"/>
      <c r="H6" s="17"/>
      <c r="I6" s="17" t="s">
        <v>87</v>
      </c>
      <c r="J6" s="17"/>
      <c r="K6" s="17"/>
      <c r="L6" s="17" t="s">
        <v>90</v>
      </c>
      <c r="M6" s="17"/>
    </row>
    <row r="7" spans="1:13">
      <c r="A7" s="11" t="s">
        <v>27</v>
      </c>
    </row>
    <row r="9" spans="1:13">
      <c r="E9" t="s">
        <v>5</v>
      </c>
      <c r="F9" s="2" t="s">
        <v>185</v>
      </c>
      <c r="G9" t="s">
        <v>7</v>
      </c>
      <c r="H9" t="s">
        <v>30</v>
      </c>
    </row>
    <row r="10" spans="1:13">
      <c r="F10" t="s">
        <v>73</v>
      </c>
      <c r="G10" s="14" t="s">
        <v>74</v>
      </c>
      <c r="H10" s="14" t="s">
        <v>145</v>
      </c>
    </row>
    <row r="11" spans="1:13">
      <c r="F11" t="s">
        <v>129</v>
      </c>
      <c r="G11" s="14" t="s">
        <v>183</v>
      </c>
      <c r="H11" s="14" t="s">
        <v>146</v>
      </c>
    </row>
    <row r="12" spans="1:13">
      <c r="F12" t="s">
        <v>76</v>
      </c>
      <c r="G12" s="14" t="s">
        <v>84</v>
      </c>
      <c r="H12" s="14" t="s">
        <v>147</v>
      </c>
    </row>
    <row r="13" spans="1:13">
      <c r="F13" t="s">
        <v>130</v>
      </c>
      <c r="G13" s="14" t="s">
        <v>184</v>
      </c>
      <c r="H13" s="14" t="s">
        <v>148</v>
      </c>
    </row>
    <row r="14" spans="1:13">
      <c r="F14" s="15"/>
      <c r="G14" s="14"/>
      <c r="H14" s="14"/>
    </row>
  </sheetData>
  <mergeCells count="1">
    <mergeCell ref="G2:K2"/>
  </mergeCells>
  <pageMargins left="0.25" right="0.25" top="0.75" bottom="0.75" header="0.3" footer="0.3"/>
  <pageSetup scale="8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15C7-D903-CC47-895D-2313346F9812}">
  <dimension ref="A1:O27"/>
  <sheetViews>
    <sheetView workbookViewId="0">
      <selection activeCell="N2" sqref="N2:N9"/>
    </sheetView>
  </sheetViews>
  <sheetFormatPr baseColWidth="10" defaultRowHeight="16"/>
  <cols>
    <col min="6" max="6" width="9.33203125" customWidth="1"/>
    <col min="7" max="7" width="14.1640625" bestFit="1" customWidth="1"/>
    <col min="13" max="13" width="16.83203125" bestFit="1" customWidth="1"/>
    <col min="14" max="14" width="16.83203125" customWidth="1"/>
  </cols>
  <sheetData>
    <row r="1" spans="1:15">
      <c r="A1" s="16" t="s">
        <v>31</v>
      </c>
      <c r="B1" s="16" t="s">
        <v>1</v>
      </c>
      <c r="C1" s="16" t="s">
        <v>32</v>
      </c>
      <c r="D1" s="16" t="s">
        <v>25</v>
      </c>
      <c r="E1" s="16" t="s">
        <v>22</v>
      </c>
      <c r="F1" s="16" t="s">
        <v>2</v>
      </c>
      <c r="G1" s="16" t="s">
        <v>33</v>
      </c>
      <c r="H1" s="16" t="s">
        <v>34</v>
      </c>
      <c r="I1" s="16" t="s">
        <v>35</v>
      </c>
      <c r="J1" s="16" t="s">
        <v>36</v>
      </c>
      <c r="K1" s="16" t="s">
        <v>37</v>
      </c>
      <c r="L1" s="16" t="s">
        <v>38</v>
      </c>
      <c r="M1" s="16" t="s">
        <v>39</v>
      </c>
      <c r="N1" s="16" t="s">
        <v>88</v>
      </c>
      <c r="O1" s="16" t="s">
        <v>4</v>
      </c>
    </row>
    <row r="2" spans="1:15">
      <c r="A2" s="23" t="s">
        <v>74</v>
      </c>
      <c r="B2" s="17">
        <v>1</v>
      </c>
      <c r="C2" s="17">
        <v>1</v>
      </c>
      <c r="D2" s="17" t="s">
        <v>40</v>
      </c>
      <c r="E2" s="17" t="s">
        <v>83</v>
      </c>
      <c r="F2" s="21"/>
      <c r="G2" s="53"/>
      <c r="H2" s="18" t="s">
        <v>145</v>
      </c>
      <c r="I2" s="19">
        <v>43577</v>
      </c>
      <c r="J2" s="20">
        <f>(DATEDIF(F2, I2,"D")/7)</f>
        <v>6225.2857142857147</v>
      </c>
      <c r="K2" s="19">
        <v>43591</v>
      </c>
      <c r="L2" s="20">
        <f>(DATEDIF(F2, K2,"D")/7)</f>
        <v>6227.2857142857147</v>
      </c>
      <c r="M2" s="20">
        <f>(DATEDIF(I2, K2,"D"))</f>
        <v>14</v>
      </c>
      <c r="N2" s="17" t="s">
        <v>121</v>
      </c>
    </row>
    <row r="3" spans="1:15">
      <c r="A3" s="17" t="s">
        <v>74</v>
      </c>
      <c r="B3" s="17">
        <v>1</v>
      </c>
      <c r="C3" s="17">
        <v>2</v>
      </c>
      <c r="D3" s="17" t="s">
        <v>89</v>
      </c>
      <c r="E3" s="17" t="s">
        <v>83</v>
      </c>
      <c r="F3" s="21"/>
      <c r="G3" s="53"/>
      <c r="H3" s="18" t="s">
        <v>145</v>
      </c>
      <c r="I3" s="19">
        <v>43577</v>
      </c>
      <c r="J3" s="20">
        <f t="shared" ref="J3:J9" si="0">(DATEDIF(F3, I3,"D")/7)</f>
        <v>6225.2857142857147</v>
      </c>
      <c r="K3" s="19">
        <v>43591</v>
      </c>
      <c r="L3" s="20">
        <f t="shared" ref="L3:L9" si="1">(DATEDIF(F3, K3,"D")/7)</f>
        <v>6227.2857142857147</v>
      </c>
      <c r="M3" s="20">
        <f t="shared" ref="M3:M9" si="2">(DATEDIF(I3, K3,"D"))</f>
        <v>14</v>
      </c>
      <c r="N3" s="17" t="s">
        <v>122</v>
      </c>
    </row>
    <row r="4" spans="1:15">
      <c r="A4" s="17" t="s">
        <v>85</v>
      </c>
      <c r="B4" s="17">
        <v>2</v>
      </c>
      <c r="C4" s="17">
        <v>1</v>
      </c>
      <c r="D4" s="17" t="s">
        <v>40</v>
      </c>
      <c r="E4" s="17" t="s">
        <v>83</v>
      </c>
      <c r="F4" s="21"/>
      <c r="G4" s="53"/>
      <c r="H4" s="18" t="s">
        <v>146</v>
      </c>
      <c r="I4" s="19">
        <v>43577</v>
      </c>
      <c r="J4" s="20">
        <f t="shared" si="0"/>
        <v>6225.2857142857147</v>
      </c>
      <c r="K4" s="19">
        <v>43591</v>
      </c>
      <c r="L4" s="20">
        <f t="shared" si="1"/>
        <v>6227.2857142857147</v>
      </c>
      <c r="M4" s="20">
        <f t="shared" si="2"/>
        <v>14</v>
      </c>
      <c r="N4" s="25" t="s">
        <v>123</v>
      </c>
    </row>
    <row r="5" spans="1:15">
      <c r="A5" s="17" t="s">
        <v>85</v>
      </c>
      <c r="B5" s="17">
        <v>2</v>
      </c>
      <c r="C5" s="17">
        <v>2</v>
      </c>
      <c r="D5" s="17" t="s">
        <v>89</v>
      </c>
      <c r="E5" s="17" t="s">
        <v>83</v>
      </c>
      <c r="F5" s="21"/>
      <c r="G5" s="53"/>
      <c r="H5" s="12" t="s">
        <v>146</v>
      </c>
      <c r="I5" s="19">
        <v>43577</v>
      </c>
      <c r="J5" s="20">
        <f t="shared" si="0"/>
        <v>6225.2857142857147</v>
      </c>
      <c r="K5" s="19">
        <v>43591</v>
      </c>
      <c r="L5" s="20">
        <f t="shared" si="1"/>
        <v>6227.2857142857147</v>
      </c>
      <c r="M5" s="20">
        <f t="shared" si="2"/>
        <v>14</v>
      </c>
      <c r="N5" s="25" t="s">
        <v>124</v>
      </c>
    </row>
    <row r="6" spans="1:15">
      <c r="A6" s="25" t="s">
        <v>86</v>
      </c>
      <c r="B6" s="17">
        <v>3</v>
      </c>
      <c r="C6" s="17">
        <v>1</v>
      </c>
      <c r="D6" s="17" t="s">
        <v>40</v>
      </c>
      <c r="E6" s="17" t="s">
        <v>83</v>
      </c>
      <c r="F6" s="21"/>
      <c r="G6" s="53"/>
      <c r="H6" s="12" t="s">
        <v>147</v>
      </c>
      <c r="I6" s="19">
        <v>43577</v>
      </c>
      <c r="J6" s="20">
        <f t="shared" si="0"/>
        <v>6225.2857142857147</v>
      </c>
      <c r="K6" s="19">
        <v>43591</v>
      </c>
      <c r="L6" s="20">
        <f t="shared" si="1"/>
        <v>6227.2857142857147</v>
      </c>
      <c r="M6" s="20">
        <f t="shared" si="2"/>
        <v>14</v>
      </c>
      <c r="N6" s="23" t="s">
        <v>125</v>
      </c>
    </row>
    <row r="7" spans="1:15">
      <c r="A7" s="25" t="s">
        <v>86</v>
      </c>
      <c r="B7" s="17">
        <v>3</v>
      </c>
      <c r="C7" s="17">
        <v>2</v>
      </c>
      <c r="D7" s="17" t="s">
        <v>89</v>
      </c>
      <c r="E7" s="17" t="s">
        <v>83</v>
      </c>
      <c r="F7" s="21"/>
      <c r="G7" s="53"/>
      <c r="H7" s="12" t="s">
        <v>147</v>
      </c>
      <c r="I7" s="19">
        <v>43577</v>
      </c>
      <c r="J7" s="20">
        <f t="shared" si="0"/>
        <v>6225.2857142857147</v>
      </c>
      <c r="K7" s="19">
        <v>43591</v>
      </c>
      <c r="L7" s="20">
        <f t="shared" si="1"/>
        <v>6227.2857142857147</v>
      </c>
      <c r="M7" s="20">
        <f t="shared" si="2"/>
        <v>14</v>
      </c>
      <c r="N7" s="23" t="s">
        <v>126</v>
      </c>
    </row>
    <row r="8" spans="1:15">
      <c r="A8" s="17" t="s">
        <v>87</v>
      </c>
      <c r="B8" s="17">
        <v>4</v>
      </c>
      <c r="C8" s="17">
        <v>1</v>
      </c>
      <c r="D8" s="17" t="s">
        <v>40</v>
      </c>
      <c r="E8" s="17" t="s">
        <v>83</v>
      </c>
      <c r="F8" s="21"/>
      <c r="G8" s="53"/>
      <c r="H8" s="12" t="s">
        <v>148</v>
      </c>
      <c r="I8" s="19">
        <v>43577</v>
      </c>
      <c r="J8" s="20">
        <f t="shared" si="0"/>
        <v>6225.2857142857147</v>
      </c>
      <c r="K8" s="19">
        <v>43591</v>
      </c>
      <c r="L8" s="20">
        <f t="shared" si="1"/>
        <v>6227.2857142857147</v>
      </c>
      <c r="M8" s="20">
        <f t="shared" si="2"/>
        <v>14</v>
      </c>
      <c r="N8" s="25" t="s">
        <v>127</v>
      </c>
      <c r="O8" s="53"/>
    </row>
    <row r="9" spans="1:15">
      <c r="A9" s="17" t="s">
        <v>87</v>
      </c>
      <c r="B9" s="17">
        <v>4</v>
      </c>
      <c r="C9" s="17">
        <v>2</v>
      </c>
      <c r="D9" s="17" t="s">
        <v>89</v>
      </c>
      <c r="E9" s="17" t="s">
        <v>83</v>
      </c>
      <c r="F9" s="21"/>
      <c r="G9" s="53"/>
      <c r="H9" s="12" t="s">
        <v>148</v>
      </c>
      <c r="I9" s="19">
        <v>43577</v>
      </c>
      <c r="J9" s="20">
        <f t="shared" si="0"/>
        <v>6225.2857142857147</v>
      </c>
      <c r="K9" s="19">
        <v>43591</v>
      </c>
      <c r="L9" s="20">
        <f t="shared" si="1"/>
        <v>6227.2857142857147</v>
      </c>
      <c r="M9" s="20">
        <f t="shared" si="2"/>
        <v>14</v>
      </c>
      <c r="N9" s="25" t="s">
        <v>128</v>
      </c>
      <c r="O9" s="53"/>
    </row>
    <row r="12" spans="1:15">
      <c r="A12" s="24"/>
      <c r="B12" s="24"/>
      <c r="C12" s="24"/>
      <c r="D12" s="24"/>
      <c r="E12" s="24"/>
      <c r="F12" s="24"/>
      <c r="G12" s="55"/>
      <c r="H12" s="24"/>
      <c r="I12" s="24"/>
    </row>
    <row r="13" spans="1:15">
      <c r="A13" s="24"/>
      <c r="B13" s="24"/>
      <c r="C13" s="24"/>
      <c r="D13" s="24"/>
      <c r="E13" s="24"/>
      <c r="F13" s="56"/>
      <c r="G13" s="55"/>
      <c r="H13" s="24"/>
      <c r="I13" s="24"/>
    </row>
    <row r="14" spans="1:15">
      <c r="A14" s="24"/>
      <c r="B14" s="24"/>
      <c r="C14" s="24"/>
      <c r="D14" s="24"/>
      <c r="E14" s="24"/>
      <c r="F14" s="56"/>
      <c r="G14" s="55"/>
      <c r="H14" s="24"/>
      <c r="I14" s="24"/>
    </row>
    <row r="15" spans="1:15">
      <c r="A15" s="24"/>
      <c r="B15" s="24"/>
      <c r="C15" s="24"/>
      <c r="D15" s="24"/>
      <c r="E15" s="24"/>
      <c r="F15" s="56"/>
      <c r="G15" s="55"/>
      <c r="H15" s="24"/>
      <c r="I15" s="24"/>
    </row>
    <row r="16" spans="1:15">
      <c r="A16" s="24"/>
      <c r="B16" s="24"/>
      <c r="C16" s="24"/>
      <c r="D16" s="24"/>
      <c r="E16" s="24"/>
      <c r="F16" s="56"/>
      <c r="G16" s="55"/>
      <c r="H16" s="24"/>
      <c r="I16" s="24"/>
    </row>
    <row r="17" spans="1:9">
      <c r="A17" s="24"/>
      <c r="B17" s="24"/>
      <c r="C17" s="24"/>
      <c r="D17" s="24"/>
      <c r="E17" s="24"/>
      <c r="F17" s="55"/>
      <c r="G17" s="55"/>
      <c r="H17" s="24"/>
      <c r="I17" s="24"/>
    </row>
    <row r="18" spans="1:9">
      <c r="A18" s="24"/>
      <c r="B18" s="24"/>
      <c r="C18" s="24"/>
      <c r="D18" s="24"/>
      <c r="E18" s="24"/>
      <c r="F18" s="24"/>
      <c r="G18" s="24"/>
      <c r="H18" s="24"/>
      <c r="I18" s="24"/>
    </row>
    <row r="19" spans="1:9">
      <c r="A19" s="24"/>
      <c r="B19" s="24"/>
      <c r="C19" s="24"/>
      <c r="D19" s="24"/>
      <c r="E19" s="24"/>
      <c r="F19" s="24"/>
      <c r="G19" s="24"/>
      <c r="H19" s="24"/>
      <c r="I19" s="24"/>
    </row>
    <row r="20" spans="1:9">
      <c r="A20" s="24"/>
      <c r="B20" s="24"/>
      <c r="C20" s="24"/>
      <c r="D20" s="24"/>
      <c r="E20" s="24"/>
      <c r="F20" s="24"/>
      <c r="G20" s="24"/>
      <c r="H20" s="24"/>
      <c r="I20" s="24"/>
    </row>
    <row r="21" spans="1:9">
      <c r="A21" s="24"/>
      <c r="B21" s="24"/>
      <c r="C21" s="24"/>
      <c r="D21" s="24"/>
      <c r="E21" s="24"/>
      <c r="F21" s="24"/>
      <c r="G21" s="24"/>
      <c r="H21" s="24"/>
      <c r="I21" s="24"/>
    </row>
    <row r="22" spans="1:9">
      <c r="A22" s="24"/>
      <c r="B22" s="24"/>
      <c r="C22" s="24"/>
      <c r="D22" s="24"/>
      <c r="E22" s="24"/>
      <c r="F22" s="24"/>
      <c r="G22" s="24"/>
      <c r="H22" s="24"/>
      <c r="I22" s="24"/>
    </row>
    <row r="23" spans="1:9">
      <c r="A23" s="24"/>
      <c r="B23" s="24"/>
      <c r="C23" s="24"/>
      <c r="D23" s="24"/>
      <c r="E23" s="24"/>
      <c r="F23" s="24"/>
      <c r="G23" s="24"/>
      <c r="H23" s="24"/>
      <c r="I23" s="24"/>
    </row>
    <row r="24" spans="1:9">
      <c r="A24" s="24"/>
      <c r="B24" s="24"/>
      <c r="C24" s="24"/>
      <c r="D24" s="24"/>
      <c r="E24" s="24"/>
      <c r="F24" s="24"/>
      <c r="G24" s="24"/>
      <c r="H24" s="24"/>
      <c r="I24" s="24"/>
    </row>
    <row r="25" spans="1:9">
      <c r="A25" s="24"/>
      <c r="B25" s="24"/>
      <c r="C25" s="24"/>
      <c r="D25" s="24"/>
      <c r="E25" s="24"/>
      <c r="F25" s="24"/>
      <c r="G25" s="24"/>
      <c r="H25" s="24"/>
      <c r="I25" s="24"/>
    </row>
    <row r="26" spans="1:9">
      <c r="A26" s="24"/>
      <c r="B26" s="24"/>
      <c r="C26" s="24"/>
      <c r="D26" s="24"/>
      <c r="E26" s="24"/>
      <c r="F26" s="24"/>
      <c r="G26" s="24"/>
      <c r="H26" s="24"/>
      <c r="I26" s="24"/>
    </row>
    <row r="27" spans="1:9">
      <c r="A27" s="24"/>
      <c r="B27" s="24"/>
      <c r="C27" s="24"/>
      <c r="D27" s="24"/>
      <c r="E27" s="24"/>
      <c r="F27" s="24"/>
      <c r="G27" s="24"/>
      <c r="H27" s="24"/>
      <c r="I2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46F9-7B2B-9541-A55F-7BF2B2559EBD}">
  <sheetPr>
    <pageSetUpPr fitToPage="1"/>
  </sheetPr>
  <dimension ref="A1:T26"/>
  <sheetViews>
    <sheetView workbookViewId="0">
      <selection activeCell="O4" sqref="O4"/>
    </sheetView>
  </sheetViews>
  <sheetFormatPr baseColWidth="10" defaultRowHeight="16"/>
  <cols>
    <col min="1" max="1" width="9.1640625" style="24" bestFit="1" customWidth="1"/>
    <col min="2" max="2" width="9.1640625" style="24" customWidth="1"/>
    <col min="3" max="3" width="9" style="24" bestFit="1" customWidth="1"/>
    <col min="4" max="4" width="8.6640625" style="24" bestFit="1" customWidth="1"/>
    <col min="5" max="5" width="10.83203125" style="24" customWidth="1"/>
    <col min="6" max="16384" width="10.83203125" style="24"/>
  </cols>
  <sheetData>
    <row r="1" spans="1:20" customFormat="1">
      <c r="A1" s="16" t="s">
        <v>91</v>
      </c>
      <c r="B1" s="16" t="s">
        <v>114</v>
      </c>
      <c r="C1" s="16" t="s">
        <v>32</v>
      </c>
      <c r="D1" s="16" t="s">
        <v>25</v>
      </c>
      <c r="E1" s="16" t="s">
        <v>115</v>
      </c>
      <c r="F1" s="16" t="s">
        <v>116</v>
      </c>
      <c r="G1" s="16" t="s">
        <v>92</v>
      </c>
      <c r="H1" s="16" t="s">
        <v>45</v>
      </c>
      <c r="I1" s="16" t="s">
        <v>44</v>
      </c>
      <c r="J1" s="16" t="s">
        <v>43</v>
      </c>
      <c r="K1" s="16" t="s">
        <v>42</v>
      </c>
      <c r="L1" s="16" t="s">
        <v>46</v>
      </c>
      <c r="M1" s="16" t="s">
        <v>47</v>
      </c>
      <c r="N1" s="16" t="s">
        <v>48</v>
      </c>
      <c r="O1" s="16" t="s">
        <v>93</v>
      </c>
      <c r="P1" s="16" t="s">
        <v>94</v>
      </c>
      <c r="Q1" s="16" t="s">
        <v>95</v>
      </c>
      <c r="R1" s="16" t="s">
        <v>96</v>
      </c>
      <c r="S1" s="16" t="s">
        <v>97</v>
      </c>
      <c r="T1" s="24"/>
    </row>
    <row r="2" spans="1:20" customFormat="1">
      <c r="A2" s="23" t="s">
        <v>74</v>
      </c>
      <c r="B2" s="23">
        <v>2</v>
      </c>
      <c r="C2" s="17" t="s">
        <v>121</v>
      </c>
      <c r="D2" s="17" t="s">
        <v>40</v>
      </c>
      <c r="E2" s="13">
        <v>25.3</v>
      </c>
      <c r="F2" s="13">
        <v>25.5</v>
      </c>
      <c r="G2" s="13">
        <v>26.2</v>
      </c>
      <c r="H2" s="13">
        <v>25.8</v>
      </c>
      <c r="I2" s="13">
        <v>26.5</v>
      </c>
      <c r="J2" s="13">
        <v>26.5</v>
      </c>
      <c r="K2" s="13">
        <v>24.1</v>
      </c>
      <c r="L2" s="13">
        <v>24.8</v>
      </c>
      <c r="M2" s="13">
        <v>24.5</v>
      </c>
      <c r="N2" s="13">
        <v>25.1</v>
      </c>
      <c r="O2" s="13">
        <v>24.7</v>
      </c>
      <c r="P2" s="13">
        <v>24.4</v>
      </c>
      <c r="Q2" s="13">
        <v>25.5</v>
      </c>
      <c r="R2" s="13">
        <v>25.4</v>
      </c>
      <c r="S2" s="50">
        <v>26.1</v>
      </c>
      <c r="T2" s="24"/>
    </row>
    <row r="3" spans="1:20" customFormat="1">
      <c r="A3" s="17" t="s">
        <v>74</v>
      </c>
      <c r="B3" s="17">
        <v>2</v>
      </c>
      <c r="C3" s="17" t="s">
        <v>122</v>
      </c>
      <c r="D3" s="17" t="s">
        <v>41</v>
      </c>
      <c r="E3" s="13">
        <v>22.8</v>
      </c>
      <c r="F3" s="13">
        <v>24</v>
      </c>
      <c r="G3" s="13">
        <v>25.1</v>
      </c>
      <c r="H3" s="13">
        <v>25.1</v>
      </c>
      <c r="I3" s="13">
        <v>25.6</v>
      </c>
      <c r="J3" s="13">
        <v>25.3</v>
      </c>
      <c r="K3" s="13">
        <v>22</v>
      </c>
      <c r="L3" s="13">
        <v>22.1</v>
      </c>
      <c r="M3" s="13">
        <v>23.9</v>
      </c>
      <c r="N3" s="13">
        <v>24.1</v>
      </c>
      <c r="O3" s="13">
        <v>23.8</v>
      </c>
      <c r="P3" s="13">
        <v>24</v>
      </c>
      <c r="Q3" s="13">
        <v>24</v>
      </c>
      <c r="R3" s="13">
        <v>24.3</v>
      </c>
      <c r="S3" s="50">
        <v>24.9</v>
      </c>
      <c r="T3" s="24"/>
    </row>
    <row r="4" spans="1:20" customFormat="1">
      <c r="A4" s="25" t="s">
        <v>28</v>
      </c>
      <c r="B4" s="25">
        <v>2</v>
      </c>
      <c r="C4" s="25" t="s">
        <v>123</v>
      </c>
      <c r="D4" s="25" t="s">
        <v>40</v>
      </c>
      <c r="E4" s="46">
        <v>24.5</v>
      </c>
      <c r="F4" s="46">
        <v>24</v>
      </c>
      <c r="G4" s="46">
        <v>25.2</v>
      </c>
      <c r="H4" s="46">
        <v>24.9</v>
      </c>
      <c r="I4" s="46">
        <v>23.6</v>
      </c>
      <c r="J4" s="46">
        <v>23.8</v>
      </c>
      <c r="K4" s="46">
        <v>24</v>
      </c>
      <c r="L4" s="46">
        <v>24.5</v>
      </c>
      <c r="M4" s="46">
        <v>24.6</v>
      </c>
      <c r="N4" s="46">
        <v>24.7</v>
      </c>
      <c r="O4" s="46">
        <v>24.3</v>
      </c>
      <c r="P4" s="46">
        <v>24.5</v>
      </c>
      <c r="Q4" s="46">
        <v>24.5</v>
      </c>
      <c r="R4" s="46">
        <v>24.5</v>
      </c>
      <c r="S4" s="51">
        <v>25</v>
      </c>
      <c r="T4" s="24"/>
    </row>
    <row r="5" spans="1:20" customFormat="1">
      <c r="A5" s="25" t="s">
        <v>28</v>
      </c>
      <c r="B5" s="25">
        <v>2</v>
      </c>
      <c r="C5" s="25" t="s">
        <v>124</v>
      </c>
      <c r="D5" s="25" t="s">
        <v>41</v>
      </c>
      <c r="E5" s="46">
        <v>25.3</v>
      </c>
      <c r="F5" s="46">
        <v>25.4</v>
      </c>
      <c r="G5" s="46">
        <v>26.2</v>
      </c>
      <c r="H5" s="46">
        <v>25.7</v>
      </c>
      <c r="I5" s="46">
        <v>23.6</v>
      </c>
      <c r="J5" s="46">
        <v>24.8</v>
      </c>
      <c r="K5" s="46">
        <v>25.3</v>
      </c>
      <c r="L5" s="46">
        <v>25.7</v>
      </c>
      <c r="M5" s="46">
        <v>26</v>
      </c>
      <c r="N5" s="46">
        <v>26.3</v>
      </c>
      <c r="O5" s="46">
        <v>26</v>
      </c>
      <c r="P5" s="46">
        <v>26.5</v>
      </c>
      <c r="Q5" s="46">
        <v>25.9</v>
      </c>
      <c r="R5" s="46">
        <v>25.8</v>
      </c>
      <c r="S5" s="51">
        <v>26.2</v>
      </c>
      <c r="T5" s="24"/>
    </row>
    <row r="6" spans="1:20" customFormat="1">
      <c r="A6" s="23" t="s">
        <v>83</v>
      </c>
      <c r="B6" s="23">
        <v>2</v>
      </c>
      <c r="C6" s="23" t="s">
        <v>125</v>
      </c>
      <c r="D6" s="23" t="s">
        <v>40</v>
      </c>
      <c r="E6" s="47">
        <v>25.1</v>
      </c>
      <c r="F6" s="47">
        <v>24.8</v>
      </c>
      <c r="G6" s="47">
        <v>26.2</v>
      </c>
      <c r="H6" s="47">
        <v>26.4</v>
      </c>
      <c r="I6" s="47">
        <v>26.1</v>
      </c>
      <c r="J6" s="47">
        <v>25.8</v>
      </c>
      <c r="K6" s="47">
        <v>23.7</v>
      </c>
      <c r="L6" s="47">
        <v>24.5</v>
      </c>
      <c r="M6" s="47">
        <v>25</v>
      </c>
      <c r="N6" s="47">
        <v>25.6</v>
      </c>
      <c r="O6" s="47">
        <v>25.1</v>
      </c>
      <c r="P6" s="47">
        <v>25</v>
      </c>
      <c r="Q6" s="47">
        <v>25</v>
      </c>
      <c r="R6" s="47">
        <v>25.5</v>
      </c>
      <c r="S6" s="52">
        <v>25.6</v>
      </c>
      <c r="T6" s="24"/>
    </row>
    <row r="7" spans="1:20" customFormat="1">
      <c r="A7" s="23" t="s">
        <v>83</v>
      </c>
      <c r="B7" s="23">
        <v>2</v>
      </c>
      <c r="C7" s="23" t="s">
        <v>126</v>
      </c>
      <c r="D7" s="23" t="s">
        <v>41</v>
      </c>
      <c r="E7" s="47">
        <v>24.4</v>
      </c>
      <c r="F7" s="47">
        <v>24.6</v>
      </c>
      <c r="G7" s="47">
        <v>25.4</v>
      </c>
      <c r="H7" s="47">
        <v>25.6</v>
      </c>
      <c r="I7" s="47">
        <v>25.1</v>
      </c>
      <c r="J7" s="47">
        <v>24.8</v>
      </c>
      <c r="K7" s="47">
        <v>23</v>
      </c>
      <c r="L7" s="47">
        <v>22</v>
      </c>
      <c r="M7" s="47">
        <v>23.2</v>
      </c>
      <c r="N7" s="47">
        <v>24.4</v>
      </c>
      <c r="O7" s="47">
        <v>24.1</v>
      </c>
      <c r="P7" s="47">
        <v>24.3</v>
      </c>
      <c r="Q7" s="47">
        <v>24</v>
      </c>
      <c r="R7" s="47">
        <v>24.3</v>
      </c>
      <c r="S7" s="52">
        <v>24.7</v>
      </c>
      <c r="T7" s="24"/>
    </row>
    <row r="8" spans="1:20" customFormat="1">
      <c r="A8" s="25" t="s">
        <v>8</v>
      </c>
      <c r="B8" s="25">
        <v>2</v>
      </c>
      <c r="C8" s="25" t="s">
        <v>127</v>
      </c>
      <c r="D8" s="25" t="s">
        <v>40</v>
      </c>
      <c r="E8" s="46">
        <v>25.4</v>
      </c>
      <c r="F8" s="46">
        <v>26.1</v>
      </c>
      <c r="G8" s="46">
        <v>25.6</v>
      </c>
      <c r="H8" s="46">
        <v>26.7</v>
      </c>
      <c r="I8" s="46">
        <v>26.9</v>
      </c>
      <c r="J8" s="46">
        <v>26</v>
      </c>
      <c r="K8" s="46">
        <v>24.9</v>
      </c>
      <c r="L8" s="46">
        <v>24</v>
      </c>
      <c r="M8" s="46">
        <v>25.2</v>
      </c>
      <c r="N8" s="46">
        <v>26.1</v>
      </c>
      <c r="O8" s="46">
        <v>29</v>
      </c>
      <c r="P8" s="46">
        <v>26.1</v>
      </c>
      <c r="Q8" s="46">
        <v>25.6</v>
      </c>
      <c r="R8" s="46">
        <v>25.3</v>
      </c>
      <c r="S8" s="51">
        <v>26.3</v>
      </c>
      <c r="T8" s="24"/>
    </row>
    <row r="9" spans="1:20" customFormat="1">
      <c r="A9" s="25" t="s">
        <v>8</v>
      </c>
      <c r="B9" s="25">
        <v>2</v>
      </c>
      <c r="C9" s="25" t="s">
        <v>128</v>
      </c>
      <c r="D9" s="25" t="s">
        <v>41</v>
      </c>
      <c r="E9" s="46">
        <v>23.8</v>
      </c>
      <c r="F9" s="46">
        <v>23.7</v>
      </c>
      <c r="G9" s="46">
        <v>24.1</v>
      </c>
      <c r="H9" s="46">
        <v>24.9</v>
      </c>
      <c r="I9" s="46">
        <v>24.74</v>
      </c>
      <c r="J9" s="46">
        <v>24.6</v>
      </c>
      <c r="K9" s="46">
        <v>23.9</v>
      </c>
      <c r="L9" s="46">
        <v>23.3</v>
      </c>
      <c r="M9" s="46">
        <v>23.8</v>
      </c>
      <c r="N9" s="46">
        <v>24.1</v>
      </c>
      <c r="O9" s="46">
        <v>24.1</v>
      </c>
      <c r="P9" s="46">
        <v>23.8</v>
      </c>
      <c r="Q9" s="46">
        <v>24.1</v>
      </c>
      <c r="R9" s="46">
        <v>23.9</v>
      </c>
      <c r="S9" s="51">
        <v>24.5</v>
      </c>
      <c r="T9" s="24"/>
    </row>
    <row r="10" spans="1:20">
      <c r="A10" s="48"/>
      <c r="B10" s="48"/>
      <c r="C10" s="48"/>
      <c r="D10" s="48"/>
      <c r="E10" s="24" t="s">
        <v>200</v>
      </c>
      <c r="F10" s="24" t="s">
        <v>201</v>
      </c>
      <c r="G10" s="24" t="s">
        <v>202</v>
      </c>
      <c r="H10" s="49" t="s">
        <v>202</v>
      </c>
      <c r="I10" s="49" t="s">
        <v>206</v>
      </c>
      <c r="P10" s="24" t="s">
        <v>202</v>
      </c>
    </row>
    <row r="11" spans="1:20">
      <c r="A11" s="48"/>
      <c r="B11" s="48"/>
      <c r="C11" s="48"/>
      <c r="D11" s="48"/>
      <c r="E11" s="24" t="s">
        <v>203</v>
      </c>
      <c r="F11" s="24" t="s">
        <v>51</v>
      </c>
      <c r="G11" s="24" t="s">
        <v>204</v>
      </c>
      <c r="H11" s="49" t="s">
        <v>204</v>
      </c>
      <c r="I11" s="49" t="s">
        <v>205</v>
      </c>
    </row>
    <row r="12" spans="1:20">
      <c r="A12" s="48"/>
      <c r="B12" s="48"/>
      <c r="C12" s="48"/>
      <c r="D12" s="48"/>
      <c r="I12" s="24" t="s">
        <v>207</v>
      </c>
    </row>
    <row r="13" spans="1:20">
      <c r="A13" s="48"/>
      <c r="B13" s="48"/>
      <c r="C13" s="48"/>
      <c r="D13" s="48"/>
    </row>
    <row r="14" spans="1:20">
      <c r="A14" s="16" t="s">
        <v>31</v>
      </c>
      <c r="B14" s="16" t="s">
        <v>114</v>
      </c>
      <c r="C14" s="16" t="s">
        <v>1</v>
      </c>
      <c r="D14" s="16" t="s">
        <v>32</v>
      </c>
      <c r="E14" s="16" t="s">
        <v>25</v>
      </c>
      <c r="F14" s="16" t="s">
        <v>22</v>
      </c>
      <c r="G14" s="16" t="s">
        <v>2</v>
      </c>
      <c r="H14" s="16" t="s">
        <v>33</v>
      </c>
      <c r="I14" s="16" t="s">
        <v>34</v>
      </c>
      <c r="J14" s="16" t="s">
        <v>35</v>
      </c>
      <c r="K14" s="16" t="s">
        <v>36</v>
      </c>
      <c r="L14" s="16" t="s">
        <v>37</v>
      </c>
      <c r="M14" s="16" t="s">
        <v>38</v>
      </c>
      <c r="N14" s="16" t="s">
        <v>39</v>
      </c>
      <c r="O14" s="16" t="s">
        <v>88</v>
      </c>
    </row>
    <row r="15" spans="1:20">
      <c r="A15" s="23" t="s">
        <v>74</v>
      </c>
      <c r="B15" s="23">
        <v>2</v>
      </c>
      <c r="C15" s="17">
        <v>1</v>
      </c>
      <c r="D15" s="17">
        <v>1</v>
      </c>
      <c r="E15" s="17" t="s">
        <v>40</v>
      </c>
      <c r="F15" s="17" t="s">
        <v>83</v>
      </c>
      <c r="G15" s="21"/>
      <c r="H15" s="1">
        <v>105</v>
      </c>
      <c r="I15" s="18"/>
      <c r="J15" s="19">
        <v>43577</v>
      </c>
      <c r="K15" s="20">
        <f>(DATEDIF(G15, J15,"D")/7)</f>
        <v>6225.2857142857147</v>
      </c>
      <c r="L15" s="19">
        <v>43591</v>
      </c>
      <c r="M15" s="20">
        <f>(DATEDIF(G15, L15,"D")/7)</f>
        <v>6227.2857142857147</v>
      </c>
      <c r="N15" s="17">
        <f>L15-J15</f>
        <v>14</v>
      </c>
      <c r="O15" s="17" t="s">
        <v>121</v>
      </c>
    </row>
    <row r="16" spans="1:20">
      <c r="A16" s="17" t="s">
        <v>74</v>
      </c>
      <c r="B16" s="17">
        <v>2</v>
      </c>
      <c r="C16" s="17">
        <v>1</v>
      </c>
      <c r="D16" s="17">
        <v>2</v>
      </c>
      <c r="E16" s="17" t="s">
        <v>89</v>
      </c>
      <c r="F16" s="17" t="s">
        <v>83</v>
      </c>
      <c r="G16" s="21"/>
      <c r="H16" s="1">
        <v>105</v>
      </c>
      <c r="I16" s="18"/>
      <c r="J16" s="19">
        <v>43577</v>
      </c>
      <c r="K16" s="20">
        <f t="shared" ref="K16:K22" si="0">(DATEDIF(G16, J16,"D")/7)</f>
        <v>6225.2857142857147</v>
      </c>
      <c r="L16" s="19">
        <v>43591</v>
      </c>
      <c r="M16" s="20">
        <f t="shared" ref="M16:M22" si="1">(DATEDIF(G16, L16,"D")/7)</f>
        <v>6227.2857142857147</v>
      </c>
      <c r="N16" s="17">
        <f t="shared" ref="N16:N22" si="2">L16-J16</f>
        <v>14</v>
      </c>
      <c r="O16" s="17" t="s">
        <v>122</v>
      </c>
    </row>
    <row r="17" spans="1:15">
      <c r="A17" s="25" t="s">
        <v>85</v>
      </c>
      <c r="B17" s="25">
        <v>2</v>
      </c>
      <c r="C17" s="25">
        <v>2</v>
      </c>
      <c r="D17" s="25">
        <v>1</v>
      </c>
      <c r="E17" s="25" t="s">
        <v>40</v>
      </c>
      <c r="F17" s="25" t="s">
        <v>83</v>
      </c>
      <c r="G17" s="67"/>
      <c r="H17" s="68">
        <v>98</v>
      </c>
      <c r="I17" s="69"/>
      <c r="J17" s="70">
        <v>43577</v>
      </c>
      <c r="K17" s="71">
        <f t="shared" si="0"/>
        <v>6225.2857142857147</v>
      </c>
      <c r="L17" s="70">
        <v>43591</v>
      </c>
      <c r="M17" s="71">
        <f t="shared" si="1"/>
        <v>6227.2857142857147</v>
      </c>
      <c r="N17" s="25">
        <f t="shared" si="2"/>
        <v>14</v>
      </c>
      <c r="O17" s="25" t="s">
        <v>123</v>
      </c>
    </row>
    <row r="18" spans="1:15">
      <c r="A18" s="25" t="s">
        <v>85</v>
      </c>
      <c r="B18" s="25">
        <v>2</v>
      </c>
      <c r="C18" s="25">
        <v>2</v>
      </c>
      <c r="D18" s="25">
        <v>2</v>
      </c>
      <c r="E18" s="25" t="s">
        <v>89</v>
      </c>
      <c r="F18" s="25" t="s">
        <v>83</v>
      </c>
      <c r="G18" s="67"/>
      <c r="H18" s="68">
        <v>98</v>
      </c>
      <c r="I18" s="69"/>
      <c r="J18" s="70">
        <v>43577</v>
      </c>
      <c r="K18" s="71">
        <f t="shared" si="0"/>
        <v>6225.2857142857147</v>
      </c>
      <c r="L18" s="70">
        <v>43591</v>
      </c>
      <c r="M18" s="71">
        <f t="shared" si="1"/>
        <v>6227.2857142857147</v>
      </c>
      <c r="N18" s="25">
        <f t="shared" si="2"/>
        <v>14</v>
      </c>
      <c r="O18" s="25" t="s">
        <v>124</v>
      </c>
    </row>
    <row r="19" spans="1:15">
      <c r="A19" s="23" t="s">
        <v>86</v>
      </c>
      <c r="B19" s="23">
        <v>2</v>
      </c>
      <c r="C19" s="23">
        <v>3</v>
      </c>
      <c r="D19" s="17">
        <v>1</v>
      </c>
      <c r="E19" s="17" t="s">
        <v>40</v>
      </c>
      <c r="F19" s="17" t="s">
        <v>83</v>
      </c>
      <c r="G19" s="21"/>
      <c r="H19" s="1">
        <v>106</v>
      </c>
      <c r="I19" s="12"/>
      <c r="J19" s="19">
        <v>43577</v>
      </c>
      <c r="K19" s="20">
        <f t="shared" si="0"/>
        <v>6225.2857142857147</v>
      </c>
      <c r="L19" s="19">
        <v>43591</v>
      </c>
      <c r="M19" s="20">
        <f t="shared" si="1"/>
        <v>6227.2857142857147</v>
      </c>
      <c r="N19" s="17">
        <f t="shared" si="2"/>
        <v>14</v>
      </c>
      <c r="O19" s="23" t="s">
        <v>125</v>
      </c>
    </row>
    <row r="20" spans="1:15">
      <c r="A20" s="23" t="s">
        <v>86</v>
      </c>
      <c r="B20" s="23">
        <v>2</v>
      </c>
      <c r="C20" s="23">
        <v>3</v>
      </c>
      <c r="D20" s="17">
        <v>2</v>
      </c>
      <c r="E20" s="17" t="s">
        <v>89</v>
      </c>
      <c r="F20" s="17" t="s">
        <v>83</v>
      </c>
      <c r="G20" s="21"/>
      <c r="H20" s="1">
        <v>106</v>
      </c>
      <c r="I20" s="12"/>
      <c r="J20" s="19">
        <v>43577</v>
      </c>
      <c r="K20" s="20">
        <f t="shared" si="0"/>
        <v>6225.2857142857147</v>
      </c>
      <c r="L20" s="19">
        <v>43591</v>
      </c>
      <c r="M20" s="20">
        <f t="shared" si="1"/>
        <v>6227.2857142857147</v>
      </c>
      <c r="N20" s="17">
        <f t="shared" si="2"/>
        <v>14</v>
      </c>
      <c r="O20" s="23" t="s">
        <v>126</v>
      </c>
    </row>
    <row r="21" spans="1:15">
      <c r="A21" s="25" t="s">
        <v>87</v>
      </c>
      <c r="B21" s="25">
        <v>2</v>
      </c>
      <c r="C21" s="25">
        <v>4</v>
      </c>
      <c r="D21" s="25">
        <v>1</v>
      </c>
      <c r="E21" s="25" t="s">
        <v>40</v>
      </c>
      <c r="F21" s="25" t="s">
        <v>83</v>
      </c>
      <c r="G21" s="67"/>
      <c r="H21" s="68">
        <v>106</v>
      </c>
      <c r="I21" s="69"/>
      <c r="J21" s="70">
        <v>43577</v>
      </c>
      <c r="K21" s="71">
        <f t="shared" si="0"/>
        <v>6225.2857142857147</v>
      </c>
      <c r="L21" s="70">
        <v>43591</v>
      </c>
      <c r="M21" s="71">
        <f t="shared" si="1"/>
        <v>6227.2857142857147</v>
      </c>
      <c r="N21" s="25">
        <f t="shared" si="2"/>
        <v>14</v>
      </c>
      <c r="O21" s="25" t="s">
        <v>127</v>
      </c>
    </row>
    <row r="22" spans="1:15">
      <c r="A22" s="25" t="s">
        <v>87</v>
      </c>
      <c r="B22" s="25">
        <v>2</v>
      </c>
      <c r="C22" s="25">
        <v>4</v>
      </c>
      <c r="D22" s="25">
        <v>2</v>
      </c>
      <c r="E22" s="25" t="s">
        <v>89</v>
      </c>
      <c r="F22" s="25" t="s">
        <v>83</v>
      </c>
      <c r="G22" s="67"/>
      <c r="H22" s="68">
        <v>106</v>
      </c>
      <c r="I22" s="69"/>
      <c r="J22" s="70">
        <v>43577</v>
      </c>
      <c r="K22" s="71">
        <f t="shared" si="0"/>
        <v>6225.2857142857147</v>
      </c>
      <c r="L22" s="70">
        <v>43591</v>
      </c>
      <c r="M22" s="71">
        <f t="shared" si="1"/>
        <v>6227.2857142857147</v>
      </c>
      <c r="N22" s="25">
        <f t="shared" si="2"/>
        <v>14</v>
      </c>
      <c r="O22" s="25" t="s">
        <v>128</v>
      </c>
    </row>
    <row r="23" spans="1: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>
      <c r="A24" s="65" t="s">
        <v>81</v>
      </c>
      <c r="B24" s="65" t="s">
        <v>82</v>
      </c>
      <c r="C24" s="45">
        <v>43542</v>
      </c>
      <c r="D24" s="37" t="s">
        <v>117</v>
      </c>
      <c r="E24" s="37" t="s">
        <v>118</v>
      </c>
      <c r="F24" s="37">
        <v>2</v>
      </c>
      <c r="G24" s="37"/>
      <c r="H24" s="37">
        <v>8.4285714289999998</v>
      </c>
      <c r="I24"/>
      <c r="J24"/>
      <c r="K24"/>
      <c r="L24"/>
      <c r="M24"/>
      <c r="N24"/>
      <c r="O24"/>
    </row>
    <row r="25" spans="1:15">
      <c r="A25" s="65" t="s">
        <v>119</v>
      </c>
      <c r="B25" s="66">
        <v>43525</v>
      </c>
      <c r="C25" s="45">
        <v>43546</v>
      </c>
      <c r="D25" s="37" t="s">
        <v>117</v>
      </c>
      <c r="E25" s="37" t="s">
        <v>118</v>
      </c>
      <c r="F25" s="37">
        <v>4</v>
      </c>
      <c r="G25" s="37"/>
      <c r="H25" s="37">
        <v>7.4285714289999998</v>
      </c>
    </row>
    <row r="26" spans="1:15">
      <c r="A26" s="65" t="s">
        <v>120</v>
      </c>
      <c r="B26" s="66">
        <v>43524</v>
      </c>
      <c r="C26" s="45">
        <v>43546</v>
      </c>
      <c r="D26" s="37" t="s">
        <v>117</v>
      </c>
      <c r="E26" s="37" t="s">
        <v>118</v>
      </c>
      <c r="F26" s="37">
        <v>2</v>
      </c>
      <c r="G26" s="37"/>
      <c r="H26" s="37">
        <v>7.5714285710000002</v>
      </c>
    </row>
  </sheetData>
  <pageMargins left="0.7" right="0.7" top="0.75" bottom="0.75" header="0.3" footer="0.3"/>
  <pageSetup scale="58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AF06-A98B-E849-B5BA-A4437AA8F946}">
  <sheetPr>
    <pageSetUpPr fitToPage="1"/>
  </sheetPr>
  <dimension ref="A1:AA90"/>
  <sheetViews>
    <sheetView workbookViewId="0">
      <selection activeCell="F51" sqref="F51:G90"/>
    </sheetView>
  </sheetViews>
  <sheetFormatPr baseColWidth="10" defaultRowHeight="16"/>
  <sheetData>
    <row r="1" spans="1:27">
      <c r="F1" s="133" t="s">
        <v>177</v>
      </c>
      <c r="G1" s="133"/>
      <c r="H1" s="133" t="s">
        <v>178</v>
      </c>
      <c r="I1" s="133"/>
      <c r="J1" s="134" t="s">
        <v>179</v>
      </c>
      <c r="K1" s="134"/>
      <c r="L1" s="134" t="s">
        <v>180</v>
      </c>
      <c r="M1" s="134"/>
      <c r="N1" s="134" t="s">
        <v>181</v>
      </c>
      <c r="O1" s="134"/>
      <c r="P1" s="132" t="s">
        <v>182</v>
      </c>
      <c r="Q1" s="132"/>
      <c r="R1" s="133"/>
      <c r="S1" s="133"/>
      <c r="T1" s="134"/>
      <c r="U1" s="134"/>
      <c r="V1" s="134"/>
      <c r="W1" s="134"/>
      <c r="X1" s="134"/>
      <c r="Y1" s="134"/>
      <c r="Z1" s="132"/>
      <c r="AA1" s="132"/>
    </row>
    <row r="2" spans="1:27" ht="34">
      <c r="A2" s="16" t="s">
        <v>91</v>
      </c>
      <c r="B2" s="16" t="s">
        <v>198</v>
      </c>
      <c r="C2" s="16" t="s">
        <v>197</v>
      </c>
      <c r="D2" s="16" t="s">
        <v>195</v>
      </c>
      <c r="E2" s="16" t="s">
        <v>196</v>
      </c>
      <c r="F2" s="29" t="s">
        <v>50</v>
      </c>
      <c r="G2" s="29" t="s">
        <v>49</v>
      </c>
      <c r="H2" s="29" t="s">
        <v>50</v>
      </c>
      <c r="I2" s="29" t="s">
        <v>49</v>
      </c>
      <c r="J2" s="29" t="s">
        <v>50</v>
      </c>
      <c r="K2" s="29" t="s">
        <v>49</v>
      </c>
      <c r="L2" s="29" t="s">
        <v>50</v>
      </c>
      <c r="M2" s="29" t="s">
        <v>49</v>
      </c>
      <c r="N2" s="29" t="s">
        <v>50</v>
      </c>
      <c r="O2" s="29" t="s">
        <v>49</v>
      </c>
      <c r="P2" s="28" t="s">
        <v>50</v>
      </c>
      <c r="Q2" s="27" t="s">
        <v>49</v>
      </c>
      <c r="R2" s="29" t="s">
        <v>50</v>
      </c>
      <c r="S2" s="29" t="s">
        <v>49</v>
      </c>
      <c r="T2" s="29" t="s">
        <v>50</v>
      </c>
      <c r="U2" s="29" t="s">
        <v>49</v>
      </c>
      <c r="V2" s="29" t="s">
        <v>50</v>
      </c>
      <c r="W2" s="29" t="s">
        <v>49</v>
      </c>
      <c r="X2" s="29" t="s">
        <v>50</v>
      </c>
      <c r="Y2" s="29" t="s">
        <v>49</v>
      </c>
      <c r="Z2" s="28" t="s">
        <v>50</v>
      </c>
      <c r="AA2" s="27" t="s">
        <v>49</v>
      </c>
    </row>
    <row r="3" spans="1:27">
      <c r="A3" s="20" t="s">
        <v>74</v>
      </c>
      <c r="B3" s="63">
        <v>0</v>
      </c>
      <c r="C3" s="96">
        <v>43586</v>
      </c>
      <c r="D3" s="63" t="s">
        <v>121</v>
      </c>
      <c r="E3" s="63" t="s">
        <v>40</v>
      </c>
      <c r="F3" s="13">
        <v>0.98260000000000003</v>
      </c>
      <c r="G3" s="17">
        <v>1.0207999999999999</v>
      </c>
      <c r="H3" s="13">
        <v>0.97119999999999995</v>
      </c>
      <c r="I3" s="13"/>
      <c r="J3" s="13">
        <v>0.98770000000000002</v>
      </c>
      <c r="K3" s="13"/>
      <c r="L3" s="13">
        <v>0.98970000000000002</v>
      </c>
      <c r="M3" s="13"/>
      <c r="N3" s="13">
        <v>0.9919</v>
      </c>
      <c r="O3" s="13"/>
      <c r="P3" s="13">
        <v>0.97450000000000003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>
      <c r="A4" s="60" t="s">
        <v>74</v>
      </c>
      <c r="B4" s="61">
        <v>0</v>
      </c>
      <c r="C4" s="62">
        <v>43586</v>
      </c>
      <c r="D4" s="61" t="s">
        <v>122</v>
      </c>
      <c r="E4" s="61" t="s">
        <v>41</v>
      </c>
      <c r="F4" s="13">
        <v>0.98360000000000003</v>
      </c>
      <c r="G4" s="17">
        <v>1.0139</v>
      </c>
      <c r="H4" s="13">
        <v>0.98839999999999995</v>
      </c>
      <c r="I4" s="13"/>
      <c r="J4" s="13">
        <v>0.98160000000000003</v>
      </c>
      <c r="K4" s="13"/>
      <c r="L4" s="13">
        <v>0.98799999999999999</v>
      </c>
      <c r="M4" s="13"/>
      <c r="N4" s="13">
        <v>0.99219999999999997</v>
      </c>
      <c r="O4" s="13"/>
      <c r="P4" s="13">
        <v>0.97809999999999997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>
      <c r="A5" s="72" t="s">
        <v>28</v>
      </c>
      <c r="B5" s="73">
        <v>0</v>
      </c>
      <c r="C5" s="74">
        <v>43586</v>
      </c>
      <c r="D5" s="75" t="s">
        <v>123</v>
      </c>
      <c r="E5" s="75" t="s">
        <v>40</v>
      </c>
      <c r="F5" s="46">
        <v>0.9798</v>
      </c>
      <c r="G5" s="25">
        <v>1.0092000000000001</v>
      </c>
      <c r="H5" s="46">
        <v>0.9788</v>
      </c>
      <c r="I5" s="46"/>
      <c r="J5" s="46">
        <v>0.97889999999999999</v>
      </c>
      <c r="K5" s="46"/>
      <c r="L5" s="46">
        <v>0.98380000000000001</v>
      </c>
      <c r="M5" s="46"/>
      <c r="N5" s="46">
        <v>0.98109999999999997</v>
      </c>
      <c r="O5" s="46"/>
      <c r="P5" s="46">
        <v>0.9839</v>
      </c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>
      <c r="A6" s="72" t="s">
        <v>28</v>
      </c>
      <c r="B6" s="73">
        <v>0</v>
      </c>
      <c r="C6" s="74">
        <v>43586</v>
      </c>
      <c r="D6" s="75" t="s">
        <v>124</v>
      </c>
      <c r="E6" s="75" t="s">
        <v>41</v>
      </c>
      <c r="F6" s="46">
        <v>0.97960000000000003</v>
      </c>
      <c r="G6" s="25">
        <v>1.0044999999999999</v>
      </c>
      <c r="H6" s="46">
        <v>0.98229999999999995</v>
      </c>
      <c r="I6" s="46"/>
      <c r="J6" s="46">
        <v>0.99209999999999998</v>
      </c>
      <c r="K6" s="46"/>
      <c r="L6" s="46">
        <v>0.9849</v>
      </c>
      <c r="M6" s="46"/>
      <c r="N6" s="46">
        <v>0.98950000000000005</v>
      </c>
      <c r="O6" s="46"/>
      <c r="P6" s="46">
        <v>0.98319999999999996</v>
      </c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>
      <c r="A7" s="60" t="s">
        <v>83</v>
      </c>
      <c r="B7" s="61">
        <v>0</v>
      </c>
      <c r="C7" s="62">
        <v>43586</v>
      </c>
      <c r="D7" s="61" t="s">
        <v>125</v>
      </c>
      <c r="E7" s="61" t="s">
        <v>40</v>
      </c>
      <c r="F7" s="13">
        <v>0.98780000000000001</v>
      </c>
      <c r="G7" s="17">
        <v>1.0075000000000001</v>
      </c>
      <c r="H7" s="47">
        <v>0.98419999999999996</v>
      </c>
      <c r="I7" s="47"/>
      <c r="J7" s="47">
        <v>0.98360000000000003</v>
      </c>
      <c r="K7" s="47"/>
      <c r="L7" s="47">
        <v>0.98619999999999997</v>
      </c>
      <c r="M7" s="47"/>
      <c r="N7" s="47">
        <v>0.98450000000000004</v>
      </c>
      <c r="O7" s="47"/>
      <c r="P7" s="47">
        <v>0.98260000000000003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>
      <c r="A8" s="60" t="s">
        <v>83</v>
      </c>
      <c r="B8" s="61">
        <v>0</v>
      </c>
      <c r="C8" s="62">
        <v>43586</v>
      </c>
      <c r="D8" s="61" t="s">
        <v>126</v>
      </c>
      <c r="E8" s="61" t="s">
        <v>41</v>
      </c>
      <c r="F8" s="13">
        <v>0.98709999999999998</v>
      </c>
      <c r="G8" s="17">
        <v>1.0065</v>
      </c>
      <c r="H8" s="47">
        <v>0.98909999999999998</v>
      </c>
      <c r="I8" s="47"/>
      <c r="J8" s="47">
        <v>0.9899</v>
      </c>
      <c r="K8" s="47"/>
      <c r="L8" s="47">
        <v>0.97250000000000003</v>
      </c>
      <c r="M8" s="47"/>
      <c r="N8" s="47">
        <v>0.98619999999999997</v>
      </c>
      <c r="O8" s="47"/>
      <c r="P8" s="47">
        <v>0.98360000000000003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>
      <c r="A9" s="72" t="s">
        <v>8</v>
      </c>
      <c r="B9" s="73">
        <v>0</v>
      </c>
      <c r="C9" s="74">
        <v>43586</v>
      </c>
      <c r="D9" s="75" t="s">
        <v>127</v>
      </c>
      <c r="E9" s="75" t="s">
        <v>40</v>
      </c>
      <c r="F9" s="46">
        <v>0.98470000000000002</v>
      </c>
      <c r="G9" s="25">
        <v>1.0198</v>
      </c>
      <c r="H9" s="46">
        <v>0.9879</v>
      </c>
      <c r="I9" s="46"/>
      <c r="J9" s="46">
        <v>0.98260000000000003</v>
      </c>
      <c r="K9" s="46"/>
      <c r="L9" s="46">
        <v>0.98099999999999998</v>
      </c>
      <c r="M9" s="46"/>
      <c r="N9" s="46">
        <v>0.99260000000000004</v>
      </c>
      <c r="O9" s="46"/>
      <c r="P9" s="46">
        <v>0.98019999999999996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ht="17" thickBot="1">
      <c r="A10" s="84" t="s">
        <v>8</v>
      </c>
      <c r="B10" s="85">
        <v>0</v>
      </c>
      <c r="C10" s="86">
        <v>43586</v>
      </c>
      <c r="D10" s="87" t="s">
        <v>128</v>
      </c>
      <c r="E10" s="87" t="s">
        <v>41</v>
      </c>
      <c r="F10" s="46">
        <v>0.98540000000000005</v>
      </c>
      <c r="G10" s="25">
        <v>1.0056</v>
      </c>
      <c r="H10" s="46">
        <v>0.98170000000000002</v>
      </c>
      <c r="I10" s="46"/>
      <c r="J10" s="46">
        <v>0.98080000000000001</v>
      </c>
      <c r="K10" s="46"/>
      <c r="L10" s="46">
        <v>0.97860000000000003</v>
      </c>
      <c r="M10" s="46"/>
      <c r="N10" s="46">
        <v>0.9899</v>
      </c>
      <c r="O10" s="46"/>
      <c r="P10" s="46">
        <v>0.98570000000000002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>
      <c r="A11" s="20" t="s">
        <v>74</v>
      </c>
      <c r="B11" s="63">
        <v>1</v>
      </c>
      <c r="C11" s="96">
        <v>43587</v>
      </c>
      <c r="D11" s="63" t="s">
        <v>121</v>
      </c>
      <c r="E11" s="63" t="s">
        <v>40</v>
      </c>
      <c r="F11" s="13">
        <v>0.97119999999999995</v>
      </c>
      <c r="G11" s="13">
        <v>1.0411999999999999</v>
      </c>
      <c r="H11" s="49"/>
      <c r="I11" s="49"/>
      <c r="J11" s="49"/>
      <c r="K11" s="49"/>
      <c r="L11" s="49"/>
      <c r="M11" s="49"/>
      <c r="N11" s="49"/>
      <c r="O11" s="49"/>
      <c r="P11" s="57"/>
      <c r="Q11" s="57"/>
      <c r="R11" s="49"/>
      <c r="S11" s="49"/>
      <c r="T11" s="49"/>
    </row>
    <row r="12" spans="1:27">
      <c r="A12" s="60" t="s">
        <v>74</v>
      </c>
      <c r="B12" s="61">
        <v>1</v>
      </c>
      <c r="C12" s="96">
        <v>43587</v>
      </c>
      <c r="D12" s="61" t="s">
        <v>122</v>
      </c>
      <c r="E12" s="61" t="s">
        <v>41</v>
      </c>
      <c r="F12" s="13">
        <v>0.98839999999999995</v>
      </c>
      <c r="G12" s="13">
        <v>1.0281</v>
      </c>
      <c r="H12" s="49"/>
      <c r="I12" s="49"/>
      <c r="J12" s="49"/>
      <c r="K12" s="49"/>
      <c r="L12" s="49"/>
      <c r="M12" s="49"/>
      <c r="N12" s="49"/>
      <c r="O12" s="49"/>
      <c r="P12" s="57"/>
      <c r="Q12" s="57"/>
      <c r="R12" s="49"/>
      <c r="S12" s="49"/>
      <c r="T12" s="49"/>
    </row>
    <row r="13" spans="1:27">
      <c r="A13" s="72" t="s">
        <v>28</v>
      </c>
      <c r="B13" s="73">
        <v>1</v>
      </c>
      <c r="C13" s="74">
        <v>43587</v>
      </c>
      <c r="D13" s="75" t="s">
        <v>123</v>
      </c>
      <c r="E13" s="75" t="s">
        <v>40</v>
      </c>
      <c r="F13" s="46">
        <v>0.9788</v>
      </c>
      <c r="G13" s="46">
        <v>0.99860000000000004</v>
      </c>
      <c r="H13" s="49"/>
      <c r="I13" s="49"/>
      <c r="J13" s="49"/>
      <c r="K13" s="49"/>
      <c r="L13" s="49"/>
      <c r="M13" s="49"/>
      <c r="N13" s="49"/>
      <c r="O13" s="49"/>
      <c r="P13" s="57"/>
      <c r="Q13" s="57"/>
      <c r="R13" s="49"/>
      <c r="S13" s="49"/>
      <c r="T13" s="49"/>
    </row>
    <row r="14" spans="1:27">
      <c r="A14" s="72" t="s">
        <v>28</v>
      </c>
      <c r="B14" s="73">
        <v>1</v>
      </c>
      <c r="C14" s="74">
        <v>43587</v>
      </c>
      <c r="D14" s="75" t="s">
        <v>124</v>
      </c>
      <c r="E14" s="75" t="s">
        <v>41</v>
      </c>
      <c r="F14" s="46">
        <v>0.98229999999999995</v>
      </c>
      <c r="G14" s="46">
        <v>0.9919</v>
      </c>
      <c r="H14" s="49"/>
      <c r="I14" s="49"/>
      <c r="J14" s="49"/>
      <c r="K14" s="49"/>
      <c r="L14" s="49"/>
      <c r="M14" s="49"/>
      <c r="N14" s="49"/>
      <c r="O14" s="49"/>
      <c r="P14" s="57"/>
      <c r="Q14" s="57"/>
      <c r="R14" s="49"/>
      <c r="S14" s="49"/>
      <c r="T14" s="49"/>
    </row>
    <row r="15" spans="1:27">
      <c r="A15" s="60" t="s">
        <v>83</v>
      </c>
      <c r="B15" s="61">
        <v>1</v>
      </c>
      <c r="C15" s="96">
        <v>43587</v>
      </c>
      <c r="D15" s="61" t="s">
        <v>125</v>
      </c>
      <c r="E15" s="61" t="s">
        <v>40</v>
      </c>
      <c r="F15" s="47">
        <v>0.98419999999999996</v>
      </c>
      <c r="G15" s="47">
        <v>0.99690000000000001</v>
      </c>
      <c r="H15" s="49"/>
      <c r="I15" s="49"/>
      <c r="J15" s="49"/>
      <c r="K15" s="49"/>
      <c r="L15" s="49"/>
      <c r="M15" s="49"/>
      <c r="N15" s="49"/>
      <c r="O15" s="49"/>
      <c r="P15" s="57"/>
      <c r="Q15" s="57"/>
      <c r="R15" s="49"/>
      <c r="S15" s="49"/>
      <c r="T15" s="49"/>
    </row>
    <row r="16" spans="1:27">
      <c r="A16" s="60" t="s">
        <v>83</v>
      </c>
      <c r="B16" s="61">
        <v>1</v>
      </c>
      <c r="C16" s="96">
        <v>43587</v>
      </c>
      <c r="D16" s="61" t="s">
        <v>126</v>
      </c>
      <c r="E16" s="61" t="s">
        <v>41</v>
      </c>
      <c r="F16" s="47">
        <v>0.98909999999999998</v>
      </c>
      <c r="G16" s="47">
        <v>1.0054000000000001</v>
      </c>
      <c r="H16" s="49"/>
      <c r="I16" s="49"/>
      <c r="J16" s="49"/>
      <c r="K16" s="49"/>
      <c r="L16" s="49"/>
      <c r="M16" s="49"/>
      <c r="N16" s="49"/>
      <c r="O16" s="49"/>
      <c r="P16" s="57"/>
      <c r="Q16" s="57"/>
      <c r="R16" s="49"/>
      <c r="S16" s="49"/>
      <c r="T16" s="49"/>
    </row>
    <row r="17" spans="1:20">
      <c r="A17" s="72" t="s">
        <v>8</v>
      </c>
      <c r="B17" s="73">
        <v>1</v>
      </c>
      <c r="C17" s="74">
        <v>43587</v>
      </c>
      <c r="D17" s="75" t="s">
        <v>127</v>
      </c>
      <c r="E17" s="75" t="s">
        <v>40</v>
      </c>
      <c r="F17" s="46">
        <v>0.9879</v>
      </c>
      <c r="G17" s="46">
        <v>1.0246999999999999</v>
      </c>
      <c r="H17" s="49"/>
      <c r="I17" s="49"/>
      <c r="J17" s="49"/>
      <c r="K17" s="49"/>
      <c r="L17" s="49"/>
      <c r="M17" s="49"/>
      <c r="N17" s="49"/>
      <c r="O17" s="49"/>
      <c r="P17" s="57"/>
      <c r="Q17" s="57"/>
      <c r="R17" s="49"/>
      <c r="S17" s="49"/>
      <c r="T17" s="49"/>
    </row>
    <row r="18" spans="1:20" ht="17" thickBot="1">
      <c r="A18" s="84" t="s">
        <v>8</v>
      </c>
      <c r="B18" s="85">
        <v>1</v>
      </c>
      <c r="C18" s="86">
        <v>43587</v>
      </c>
      <c r="D18" s="87" t="s">
        <v>128</v>
      </c>
      <c r="E18" s="87" t="s">
        <v>41</v>
      </c>
      <c r="F18" s="46">
        <v>0.98170000000000002</v>
      </c>
      <c r="G18" s="46">
        <v>1.0471999999999999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</row>
    <row r="19" spans="1:20">
      <c r="A19" s="20" t="s">
        <v>74</v>
      </c>
      <c r="B19" s="63">
        <v>2</v>
      </c>
      <c r="C19" s="96">
        <v>43588</v>
      </c>
      <c r="D19" s="63" t="s">
        <v>121</v>
      </c>
      <c r="E19" s="63" t="s">
        <v>40</v>
      </c>
      <c r="F19" s="13">
        <v>0.98770000000000002</v>
      </c>
      <c r="G19" s="13">
        <v>1.0273000000000001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20" spans="1:20">
      <c r="A20" s="60" t="s">
        <v>74</v>
      </c>
      <c r="B20" s="61">
        <v>2</v>
      </c>
      <c r="C20" s="62">
        <v>43588</v>
      </c>
      <c r="D20" s="61" t="s">
        <v>122</v>
      </c>
      <c r="E20" s="61" t="s">
        <v>41</v>
      </c>
      <c r="F20" s="13">
        <v>0.98160000000000003</v>
      </c>
      <c r="G20" s="13" t="s">
        <v>70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 spans="1:20">
      <c r="A21" s="72" t="s">
        <v>28</v>
      </c>
      <c r="B21" s="73">
        <v>2</v>
      </c>
      <c r="C21" s="74">
        <v>43588</v>
      </c>
      <c r="D21" s="75" t="s">
        <v>123</v>
      </c>
      <c r="E21" s="75" t="s">
        <v>40</v>
      </c>
      <c r="F21" s="46">
        <v>0.9516</v>
      </c>
      <c r="G21" s="46">
        <v>0.97750000000000004</v>
      </c>
      <c r="H21" s="49" t="s">
        <v>199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 spans="1:20">
      <c r="A22" s="72" t="s">
        <v>28</v>
      </c>
      <c r="B22" s="73">
        <v>2</v>
      </c>
      <c r="C22" s="74">
        <v>43588</v>
      </c>
      <c r="D22" s="75" t="s">
        <v>124</v>
      </c>
      <c r="E22" s="75" t="s">
        <v>41</v>
      </c>
      <c r="F22" s="46">
        <v>0.99209999999999998</v>
      </c>
      <c r="G22" s="46">
        <v>1.0375000000000001</v>
      </c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</row>
    <row r="23" spans="1:20">
      <c r="A23" s="60" t="s">
        <v>83</v>
      </c>
      <c r="B23" s="61">
        <v>2</v>
      </c>
      <c r="C23" s="62">
        <v>43588</v>
      </c>
      <c r="D23" s="61" t="s">
        <v>125</v>
      </c>
      <c r="E23" s="61" t="s">
        <v>40</v>
      </c>
      <c r="F23" s="47">
        <v>0.98360000000000003</v>
      </c>
      <c r="G23" s="47">
        <v>0.98819999999999997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4" spans="1:20">
      <c r="A24" s="60" t="s">
        <v>83</v>
      </c>
      <c r="B24" s="61">
        <v>2</v>
      </c>
      <c r="C24" s="62">
        <v>43588</v>
      </c>
      <c r="D24" s="61" t="s">
        <v>126</v>
      </c>
      <c r="E24" s="61" t="s">
        <v>41</v>
      </c>
      <c r="F24" s="47">
        <v>0.9899</v>
      </c>
      <c r="G24" s="47">
        <v>1.0008999999999999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 spans="1:20">
      <c r="A25" s="72" t="s">
        <v>8</v>
      </c>
      <c r="B25" s="73">
        <v>2</v>
      </c>
      <c r="C25" s="74">
        <v>43588</v>
      </c>
      <c r="D25" s="75" t="s">
        <v>127</v>
      </c>
      <c r="E25" s="75" t="s">
        <v>40</v>
      </c>
      <c r="F25" s="46">
        <v>0.98260000000000003</v>
      </c>
      <c r="G25" s="46">
        <v>1.0089999999999999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6" spans="1:20" ht="17" thickBot="1">
      <c r="A26" s="84" t="s">
        <v>8</v>
      </c>
      <c r="B26" s="85">
        <v>2</v>
      </c>
      <c r="C26" s="106">
        <v>43588</v>
      </c>
      <c r="D26" s="87" t="s">
        <v>128</v>
      </c>
      <c r="E26" s="87" t="s">
        <v>41</v>
      </c>
      <c r="F26" s="46">
        <v>0.98080000000000001</v>
      </c>
      <c r="G26" s="46">
        <v>0.99850000000000005</v>
      </c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</row>
    <row r="27" spans="1:20">
      <c r="A27" s="20" t="s">
        <v>74</v>
      </c>
      <c r="B27" s="63">
        <v>3</v>
      </c>
      <c r="C27" s="62">
        <v>43589</v>
      </c>
      <c r="D27" s="63" t="s">
        <v>121</v>
      </c>
      <c r="E27" s="63" t="s">
        <v>40</v>
      </c>
      <c r="F27" s="13">
        <v>0.98970000000000002</v>
      </c>
      <c r="G27" s="13">
        <v>1.0341</v>
      </c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 spans="1:20">
      <c r="A28" s="60" t="s">
        <v>74</v>
      </c>
      <c r="B28" s="61">
        <v>3</v>
      </c>
      <c r="C28" s="62">
        <v>43589</v>
      </c>
      <c r="D28" s="61" t="s">
        <v>122</v>
      </c>
      <c r="E28" s="61" t="s">
        <v>41</v>
      </c>
      <c r="F28" s="13">
        <v>0.98799999999999999</v>
      </c>
      <c r="G28" s="13">
        <v>1.0121</v>
      </c>
    </row>
    <row r="29" spans="1:20">
      <c r="A29" s="72" t="s">
        <v>28</v>
      </c>
      <c r="B29" s="73">
        <v>3</v>
      </c>
      <c r="C29" s="74">
        <v>43589</v>
      </c>
      <c r="D29" s="75" t="s">
        <v>123</v>
      </c>
      <c r="E29" s="75" t="s">
        <v>40</v>
      </c>
      <c r="F29" s="46">
        <v>0.98380000000000001</v>
      </c>
      <c r="G29" s="46">
        <v>1.0028999999999999</v>
      </c>
    </row>
    <row r="30" spans="1:20">
      <c r="A30" s="72" t="s">
        <v>28</v>
      </c>
      <c r="B30" s="73">
        <v>3</v>
      </c>
      <c r="C30" s="74">
        <v>43589</v>
      </c>
      <c r="D30" s="75" t="s">
        <v>124</v>
      </c>
      <c r="E30" s="75" t="s">
        <v>41</v>
      </c>
      <c r="F30" s="46">
        <v>0.9849</v>
      </c>
      <c r="G30" s="46">
        <v>1.0138</v>
      </c>
    </row>
    <row r="31" spans="1:20">
      <c r="A31" s="60" t="s">
        <v>83</v>
      </c>
      <c r="B31" s="61">
        <v>3</v>
      </c>
      <c r="C31" s="62">
        <v>43589</v>
      </c>
      <c r="D31" s="61" t="s">
        <v>125</v>
      </c>
      <c r="E31" s="61" t="s">
        <v>40</v>
      </c>
      <c r="F31" s="47">
        <v>0.98619999999999997</v>
      </c>
      <c r="G31" s="47">
        <v>1.0001</v>
      </c>
    </row>
    <row r="32" spans="1:20">
      <c r="A32" s="60" t="s">
        <v>83</v>
      </c>
      <c r="B32" s="61">
        <v>3</v>
      </c>
      <c r="C32" s="62">
        <v>43589</v>
      </c>
      <c r="D32" s="61" t="s">
        <v>126</v>
      </c>
      <c r="E32" s="61" t="s">
        <v>41</v>
      </c>
      <c r="F32" s="47">
        <v>0.97250000000000003</v>
      </c>
      <c r="G32" s="47">
        <v>0.98770000000000002</v>
      </c>
    </row>
    <row r="33" spans="1:7">
      <c r="A33" s="72" t="s">
        <v>8</v>
      </c>
      <c r="B33" s="73">
        <v>3</v>
      </c>
      <c r="C33" s="74">
        <v>43589</v>
      </c>
      <c r="D33" s="75" t="s">
        <v>127</v>
      </c>
      <c r="E33" s="75" t="s">
        <v>40</v>
      </c>
      <c r="F33" s="46">
        <v>0.98099999999999998</v>
      </c>
      <c r="G33" s="46">
        <v>0.99380000000000002</v>
      </c>
    </row>
    <row r="34" spans="1:7" ht="17" thickBot="1">
      <c r="A34" s="84" t="s">
        <v>8</v>
      </c>
      <c r="B34" s="85">
        <v>3</v>
      </c>
      <c r="C34" s="86">
        <v>43589</v>
      </c>
      <c r="D34" s="87" t="s">
        <v>128</v>
      </c>
      <c r="E34" s="87" t="s">
        <v>41</v>
      </c>
      <c r="F34" s="46">
        <v>0.97860000000000003</v>
      </c>
      <c r="G34" s="46">
        <v>1.0004999999999999</v>
      </c>
    </row>
    <row r="35" spans="1:7">
      <c r="A35" s="20" t="s">
        <v>74</v>
      </c>
      <c r="B35" s="63">
        <v>4</v>
      </c>
      <c r="C35" s="96">
        <v>43590</v>
      </c>
      <c r="D35" s="63" t="s">
        <v>121</v>
      </c>
      <c r="E35" s="63" t="s">
        <v>40</v>
      </c>
      <c r="F35" s="13">
        <v>0.9919</v>
      </c>
      <c r="G35" s="13">
        <v>1.0253000000000001</v>
      </c>
    </row>
    <row r="36" spans="1:7">
      <c r="A36" s="60" t="s">
        <v>74</v>
      </c>
      <c r="B36" s="61">
        <v>4</v>
      </c>
      <c r="C36" s="62">
        <v>43590</v>
      </c>
      <c r="D36" s="61" t="s">
        <v>122</v>
      </c>
      <c r="E36" s="61" t="s">
        <v>41</v>
      </c>
      <c r="F36" s="13">
        <v>0.99219999999999997</v>
      </c>
      <c r="G36" s="13">
        <v>1.0288999999999999</v>
      </c>
    </row>
    <row r="37" spans="1:7">
      <c r="A37" s="72" t="s">
        <v>28</v>
      </c>
      <c r="B37" s="73">
        <v>4</v>
      </c>
      <c r="C37" s="74">
        <v>43590</v>
      </c>
      <c r="D37" s="75" t="s">
        <v>123</v>
      </c>
      <c r="E37" s="75" t="s">
        <v>40</v>
      </c>
      <c r="F37" s="46">
        <v>0.98109999999999997</v>
      </c>
      <c r="G37" s="46">
        <v>0.99409999999999998</v>
      </c>
    </row>
    <row r="38" spans="1:7">
      <c r="A38" s="72" t="s">
        <v>28</v>
      </c>
      <c r="B38" s="73">
        <v>4</v>
      </c>
      <c r="C38" s="74">
        <v>43590</v>
      </c>
      <c r="D38" s="75" t="s">
        <v>124</v>
      </c>
      <c r="E38" s="75" t="s">
        <v>41</v>
      </c>
      <c r="F38" s="46">
        <v>0.98950000000000005</v>
      </c>
      <c r="G38" s="46">
        <v>1.0310999999999999</v>
      </c>
    </row>
    <row r="39" spans="1:7">
      <c r="A39" s="60" t="s">
        <v>83</v>
      </c>
      <c r="B39" s="61">
        <v>4</v>
      </c>
      <c r="C39" s="62">
        <v>43590</v>
      </c>
      <c r="D39" s="61" t="s">
        <v>125</v>
      </c>
      <c r="E39" s="61" t="s">
        <v>40</v>
      </c>
      <c r="F39" s="47">
        <v>0.98450000000000004</v>
      </c>
      <c r="G39" s="47">
        <v>1.0121</v>
      </c>
    </row>
    <row r="40" spans="1:7">
      <c r="A40" s="60" t="s">
        <v>83</v>
      </c>
      <c r="B40" s="61">
        <v>4</v>
      </c>
      <c r="C40" s="62">
        <v>43590</v>
      </c>
      <c r="D40" s="61" t="s">
        <v>126</v>
      </c>
      <c r="E40" s="61" t="s">
        <v>41</v>
      </c>
      <c r="F40" s="47">
        <v>0.98619999999999997</v>
      </c>
      <c r="G40" s="47">
        <v>0.99629999999999996</v>
      </c>
    </row>
    <row r="41" spans="1:7">
      <c r="A41" s="72" t="s">
        <v>8</v>
      </c>
      <c r="B41" s="73">
        <v>4</v>
      </c>
      <c r="C41" s="74">
        <v>43590</v>
      </c>
      <c r="D41" s="75" t="s">
        <v>127</v>
      </c>
      <c r="E41" s="75" t="s">
        <v>40</v>
      </c>
      <c r="F41" s="46">
        <v>0.99260000000000004</v>
      </c>
      <c r="G41" s="46">
        <v>1.0099</v>
      </c>
    </row>
    <row r="42" spans="1:7" ht="17" thickBot="1">
      <c r="A42" s="84" t="s">
        <v>8</v>
      </c>
      <c r="B42" s="85">
        <v>4</v>
      </c>
      <c r="C42" s="86">
        <v>43590</v>
      </c>
      <c r="D42" s="87" t="s">
        <v>128</v>
      </c>
      <c r="E42" s="87" t="s">
        <v>41</v>
      </c>
      <c r="F42" s="46">
        <v>0.9899</v>
      </c>
      <c r="G42" s="46">
        <v>1.0284</v>
      </c>
    </row>
    <row r="43" spans="1:7">
      <c r="A43" s="20" t="s">
        <v>74</v>
      </c>
      <c r="B43" s="63">
        <v>5</v>
      </c>
      <c r="C43" s="96">
        <v>43591</v>
      </c>
      <c r="D43" s="63" t="s">
        <v>121</v>
      </c>
      <c r="E43" s="63" t="s">
        <v>40</v>
      </c>
      <c r="F43" s="13">
        <v>0.97450000000000003</v>
      </c>
      <c r="G43" s="13">
        <v>1.0036</v>
      </c>
    </row>
    <row r="44" spans="1:7">
      <c r="A44" s="60" t="s">
        <v>74</v>
      </c>
      <c r="B44" s="61">
        <v>5</v>
      </c>
      <c r="C44" s="62">
        <v>43591</v>
      </c>
      <c r="D44" s="61" t="s">
        <v>122</v>
      </c>
      <c r="E44" s="61" t="s">
        <v>41</v>
      </c>
      <c r="F44" s="13">
        <v>0.97809999999999997</v>
      </c>
      <c r="G44" s="13">
        <v>1.006</v>
      </c>
    </row>
    <row r="45" spans="1:7">
      <c r="A45" s="72" t="s">
        <v>28</v>
      </c>
      <c r="B45" s="73">
        <v>5</v>
      </c>
      <c r="C45" s="74">
        <v>43591</v>
      </c>
      <c r="D45" s="75" t="s">
        <v>123</v>
      </c>
      <c r="E45" s="75" t="s">
        <v>40</v>
      </c>
      <c r="F45" s="46">
        <v>0.9839</v>
      </c>
      <c r="G45" s="46">
        <v>1.0206</v>
      </c>
    </row>
    <row r="46" spans="1:7">
      <c r="A46" s="72" t="s">
        <v>28</v>
      </c>
      <c r="B46" s="73">
        <v>5</v>
      </c>
      <c r="C46" s="74">
        <v>43591</v>
      </c>
      <c r="D46" s="75" t="s">
        <v>124</v>
      </c>
      <c r="E46" s="75" t="s">
        <v>41</v>
      </c>
      <c r="F46" s="46">
        <v>0.98319999999999996</v>
      </c>
      <c r="G46" s="46">
        <v>1.0108999999999999</v>
      </c>
    </row>
    <row r="47" spans="1:7">
      <c r="A47" s="60" t="s">
        <v>83</v>
      </c>
      <c r="B47" s="61">
        <v>5</v>
      </c>
      <c r="C47" s="62">
        <v>43591</v>
      </c>
      <c r="D47" s="61" t="s">
        <v>125</v>
      </c>
      <c r="E47" s="61" t="s">
        <v>40</v>
      </c>
      <c r="F47" s="47">
        <v>0.98260000000000003</v>
      </c>
      <c r="G47" s="47">
        <v>1.0079</v>
      </c>
    </row>
    <row r="48" spans="1:7">
      <c r="A48" s="60" t="s">
        <v>83</v>
      </c>
      <c r="B48" s="61">
        <v>5</v>
      </c>
      <c r="C48" s="62">
        <v>43591</v>
      </c>
      <c r="D48" s="61" t="s">
        <v>126</v>
      </c>
      <c r="E48" s="61" t="s">
        <v>41</v>
      </c>
      <c r="F48" s="47">
        <v>0.98360000000000003</v>
      </c>
      <c r="G48" s="47">
        <v>1.0197000000000001</v>
      </c>
    </row>
    <row r="49" spans="1:7">
      <c r="A49" s="72" t="s">
        <v>8</v>
      </c>
      <c r="B49" s="73">
        <v>5</v>
      </c>
      <c r="C49" s="74">
        <v>43591</v>
      </c>
      <c r="D49" s="75" t="s">
        <v>127</v>
      </c>
      <c r="E49" s="75" t="s">
        <v>40</v>
      </c>
      <c r="F49" s="46">
        <v>0.98019999999999996</v>
      </c>
      <c r="G49" s="46">
        <v>1.0153000000000001</v>
      </c>
    </row>
    <row r="50" spans="1:7" ht="17" thickBot="1">
      <c r="A50" s="84" t="s">
        <v>8</v>
      </c>
      <c r="B50" s="85">
        <v>5</v>
      </c>
      <c r="C50" s="86">
        <v>43591</v>
      </c>
      <c r="D50" s="87" t="s">
        <v>128</v>
      </c>
      <c r="E50" s="87" t="s">
        <v>41</v>
      </c>
      <c r="F50" s="46">
        <v>0.98570000000000002</v>
      </c>
      <c r="G50" s="46">
        <v>1.0255000000000001</v>
      </c>
    </row>
    <row r="51" spans="1:7">
      <c r="A51" s="20" t="s">
        <v>74</v>
      </c>
      <c r="B51" s="63">
        <v>6</v>
      </c>
      <c r="C51" s="96">
        <v>43592</v>
      </c>
      <c r="D51" s="63" t="s">
        <v>121</v>
      </c>
      <c r="E51" s="63" t="s">
        <v>40</v>
      </c>
      <c r="F51">
        <v>0.98299999999999998</v>
      </c>
      <c r="G51">
        <v>1.0077</v>
      </c>
    </row>
    <row r="52" spans="1:7">
      <c r="A52" s="60" t="s">
        <v>74</v>
      </c>
      <c r="B52" s="61">
        <v>6</v>
      </c>
      <c r="C52" s="62">
        <v>43592</v>
      </c>
      <c r="D52" s="61" t="s">
        <v>122</v>
      </c>
      <c r="E52" s="61" t="s">
        <v>41</v>
      </c>
      <c r="F52">
        <v>0.9899</v>
      </c>
      <c r="G52">
        <v>1.0129999999999999</v>
      </c>
    </row>
    <row r="53" spans="1:7">
      <c r="A53" s="72" t="s">
        <v>28</v>
      </c>
      <c r="B53" s="73">
        <v>6</v>
      </c>
      <c r="C53" s="74">
        <v>43592</v>
      </c>
      <c r="D53" s="75" t="s">
        <v>123</v>
      </c>
      <c r="E53" s="75" t="s">
        <v>40</v>
      </c>
      <c r="F53">
        <v>0.9889</v>
      </c>
      <c r="G53">
        <v>1.0174000000000001</v>
      </c>
    </row>
    <row r="54" spans="1:7">
      <c r="A54" s="72" t="s">
        <v>28</v>
      </c>
      <c r="B54" s="73">
        <v>6</v>
      </c>
      <c r="C54" s="74">
        <v>43592</v>
      </c>
      <c r="D54" s="75" t="s">
        <v>124</v>
      </c>
      <c r="E54" s="75" t="s">
        <v>41</v>
      </c>
      <c r="F54">
        <v>0.9889</v>
      </c>
      <c r="G54">
        <v>1.0205</v>
      </c>
    </row>
    <row r="55" spans="1:7">
      <c r="A55" s="60" t="s">
        <v>83</v>
      </c>
      <c r="B55" s="61">
        <v>6</v>
      </c>
      <c r="C55" s="62">
        <v>43592</v>
      </c>
      <c r="D55" s="61" t="s">
        <v>125</v>
      </c>
      <c r="E55" s="61" t="s">
        <v>40</v>
      </c>
      <c r="F55">
        <v>0.9748</v>
      </c>
      <c r="G55">
        <v>0.99580000000000002</v>
      </c>
    </row>
    <row r="56" spans="1:7">
      <c r="A56" s="60" t="s">
        <v>83</v>
      </c>
      <c r="B56" s="61">
        <v>6</v>
      </c>
      <c r="C56" s="62">
        <v>43592</v>
      </c>
      <c r="D56" s="61" t="s">
        <v>126</v>
      </c>
      <c r="E56" s="61" t="s">
        <v>41</v>
      </c>
      <c r="F56">
        <v>0.98899999999999999</v>
      </c>
      <c r="G56">
        <v>1.0058</v>
      </c>
    </row>
    <row r="57" spans="1:7">
      <c r="A57" s="72" t="s">
        <v>8</v>
      </c>
      <c r="B57" s="73">
        <v>6</v>
      </c>
      <c r="C57" s="74">
        <v>43592</v>
      </c>
      <c r="D57" s="75" t="s">
        <v>127</v>
      </c>
      <c r="E57" s="75" t="s">
        <v>40</v>
      </c>
      <c r="F57">
        <v>0.98419999999999996</v>
      </c>
      <c r="G57">
        <v>1.0046999999999999</v>
      </c>
    </row>
    <row r="58" spans="1:7" ht="17" thickBot="1">
      <c r="A58" s="84" t="s">
        <v>8</v>
      </c>
      <c r="B58" s="85">
        <v>6</v>
      </c>
      <c r="C58" s="86">
        <v>43592</v>
      </c>
      <c r="D58" s="87" t="s">
        <v>128</v>
      </c>
      <c r="E58" s="87" t="s">
        <v>41</v>
      </c>
      <c r="F58">
        <v>0.96760000000000002</v>
      </c>
      <c r="G58">
        <v>0.98560000000000003</v>
      </c>
    </row>
    <row r="59" spans="1:7">
      <c r="A59" s="20" t="s">
        <v>74</v>
      </c>
      <c r="B59" s="63">
        <v>7</v>
      </c>
      <c r="C59" s="96">
        <v>43593</v>
      </c>
      <c r="D59" s="63" t="s">
        <v>121</v>
      </c>
      <c r="E59" s="63" t="s">
        <v>40</v>
      </c>
      <c r="F59">
        <v>0.98750000000000004</v>
      </c>
      <c r="G59">
        <v>1.022</v>
      </c>
    </row>
    <row r="60" spans="1:7">
      <c r="A60" s="60" t="s">
        <v>74</v>
      </c>
      <c r="B60" s="61">
        <v>7</v>
      </c>
      <c r="C60" s="62">
        <v>43593</v>
      </c>
      <c r="D60" s="61" t="s">
        <v>122</v>
      </c>
      <c r="E60" s="61" t="s">
        <v>41</v>
      </c>
      <c r="F60">
        <v>0.99350000000000005</v>
      </c>
      <c r="G60">
        <v>1.0158</v>
      </c>
    </row>
    <row r="61" spans="1:7">
      <c r="A61" s="72" t="s">
        <v>28</v>
      </c>
      <c r="B61" s="73">
        <v>7</v>
      </c>
      <c r="C61" s="74">
        <v>43593</v>
      </c>
      <c r="D61" s="75" t="s">
        <v>123</v>
      </c>
      <c r="E61" s="75" t="s">
        <v>40</v>
      </c>
      <c r="F61">
        <v>0.97499999999999998</v>
      </c>
      <c r="G61">
        <v>0.98499999999999999</v>
      </c>
    </row>
    <row r="62" spans="1:7">
      <c r="A62" s="72" t="s">
        <v>28</v>
      </c>
      <c r="B62" s="73">
        <v>7</v>
      </c>
      <c r="C62" s="74">
        <v>43593</v>
      </c>
      <c r="D62" s="75" t="s">
        <v>124</v>
      </c>
      <c r="E62" s="75" t="s">
        <v>41</v>
      </c>
      <c r="F62">
        <v>0.97450000000000003</v>
      </c>
      <c r="G62">
        <v>0.99890000000000001</v>
      </c>
    </row>
    <row r="63" spans="1:7">
      <c r="A63" s="60" t="s">
        <v>83</v>
      </c>
      <c r="B63" s="61">
        <v>7</v>
      </c>
      <c r="C63" s="62">
        <v>43593</v>
      </c>
      <c r="D63" s="61" t="s">
        <v>125</v>
      </c>
      <c r="E63" s="61" t="s">
        <v>40</v>
      </c>
      <c r="F63">
        <v>0.98960000000000004</v>
      </c>
      <c r="G63">
        <v>1.0047999999999999</v>
      </c>
    </row>
    <row r="64" spans="1:7">
      <c r="A64" s="60" t="s">
        <v>83</v>
      </c>
      <c r="B64" s="61">
        <v>7</v>
      </c>
      <c r="C64" s="62">
        <v>43593</v>
      </c>
      <c r="D64" s="61" t="s">
        <v>126</v>
      </c>
      <c r="E64" s="61" t="s">
        <v>41</v>
      </c>
      <c r="F64">
        <v>0.97160000000000002</v>
      </c>
      <c r="G64">
        <v>0.99790000000000001</v>
      </c>
    </row>
    <row r="65" spans="1:7">
      <c r="A65" s="72" t="s">
        <v>8</v>
      </c>
      <c r="B65" s="73">
        <v>7</v>
      </c>
      <c r="C65" s="74">
        <v>43593</v>
      </c>
      <c r="D65" s="75" t="s">
        <v>127</v>
      </c>
      <c r="E65" s="75" t="s">
        <v>40</v>
      </c>
      <c r="F65">
        <v>0.98550000000000004</v>
      </c>
      <c r="G65">
        <v>1.0102</v>
      </c>
    </row>
    <row r="66" spans="1:7" ht="17" thickBot="1">
      <c r="A66" s="84" t="s">
        <v>8</v>
      </c>
      <c r="B66" s="85">
        <v>7</v>
      </c>
      <c r="C66" s="86">
        <v>43593</v>
      </c>
      <c r="D66" s="87" t="s">
        <v>128</v>
      </c>
      <c r="E66" s="87" t="s">
        <v>41</v>
      </c>
      <c r="F66">
        <v>0.98160000000000003</v>
      </c>
      <c r="G66">
        <v>0.98980000000000001</v>
      </c>
    </row>
    <row r="67" spans="1:7">
      <c r="A67" s="20" t="s">
        <v>74</v>
      </c>
      <c r="B67" s="63">
        <v>8</v>
      </c>
      <c r="C67" s="96">
        <v>43594</v>
      </c>
      <c r="D67" s="63" t="s">
        <v>121</v>
      </c>
      <c r="E67" s="63" t="s">
        <v>40</v>
      </c>
      <c r="F67">
        <v>0.99</v>
      </c>
      <c r="G67">
        <v>1.0183</v>
      </c>
    </row>
    <row r="68" spans="1:7">
      <c r="A68" s="60" t="s">
        <v>74</v>
      </c>
      <c r="B68" s="61">
        <v>8</v>
      </c>
      <c r="C68" s="62">
        <v>43594</v>
      </c>
      <c r="D68" s="61" t="s">
        <v>122</v>
      </c>
      <c r="E68" s="61" t="s">
        <v>41</v>
      </c>
      <c r="F68">
        <v>0.98929999999999996</v>
      </c>
      <c r="G68">
        <v>1.0086999999999999</v>
      </c>
    </row>
    <row r="69" spans="1:7">
      <c r="A69" s="72" t="s">
        <v>28</v>
      </c>
      <c r="B69" s="73">
        <v>8</v>
      </c>
      <c r="C69" s="74">
        <v>43594</v>
      </c>
      <c r="D69" s="75" t="s">
        <v>123</v>
      </c>
      <c r="E69" s="75" t="s">
        <v>40</v>
      </c>
      <c r="F69">
        <v>0.96760000000000002</v>
      </c>
      <c r="G69">
        <v>0.98140000000000005</v>
      </c>
    </row>
    <row r="70" spans="1:7">
      <c r="A70" s="72" t="s">
        <v>28</v>
      </c>
      <c r="B70" s="73">
        <v>8</v>
      </c>
      <c r="C70" s="74">
        <v>43594</v>
      </c>
      <c r="D70" s="75" t="s">
        <v>124</v>
      </c>
      <c r="E70" s="75" t="s">
        <v>41</v>
      </c>
      <c r="F70">
        <v>0.98209999999999997</v>
      </c>
      <c r="G70">
        <v>1.0119</v>
      </c>
    </row>
    <row r="71" spans="1:7">
      <c r="A71" s="60" t="s">
        <v>83</v>
      </c>
      <c r="B71" s="61">
        <v>8</v>
      </c>
      <c r="C71" s="62">
        <v>43594</v>
      </c>
      <c r="D71" s="61" t="s">
        <v>125</v>
      </c>
      <c r="E71" s="61" t="s">
        <v>40</v>
      </c>
      <c r="F71">
        <v>0.99480000000000002</v>
      </c>
      <c r="G71">
        <v>1.0223</v>
      </c>
    </row>
    <row r="72" spans="1:7">
      <c r="A72" s="60" t="s">
        <v>83</v>
      </c>
      <c r="B72" s="61">
        <v>8</v>
      </c>
      <c r="C72" s="62">
        <v>43594</v>
      </c>
      <c r="D72" s="61" t="s">
        <v>126</v>
      </c>
      <c r="E72" s="61" t="s">
        <v>41</v>
      </c>
      <c r="F72">
        <v>0.97599999999999998</v>
      </c>
      <c r="G72">
        <v>1.002</v>
      </c>
    </row>
    <row r="73" spans="1:7">
      <c r="A73" s="72" t="s">
        <v>8</v>
      </c>
      <c r="B73" s="73">
        <v>8</v>
      </c>
      <c r="C73" s="74">
        <v>43594</v>
      </c>
      <c r="D73" s="75" t="s">
        <v>127</v>
      </c>
      <c r="E73" s="75" t="s">
        <v>40</v>
      </c>
      <c r="F73">
        <v>0.99</v>
      </c>
      <c r="G73">
        <v>1.0205</v>
      </c>
    </row>
    <row r="74" spans="1:7" ht="17" thickBot="1">
      <c r="A74" s="84" t="s">
        <v>8</v>
      </c>
      <c r="B74" s="85">
        <v>8</v>
      </c>
      <c r="C74" s="86">
        <v>43594</v>
      </c>
      <c r="D74" s="87" t="s">
        <v>128</v>
      </c>
      <c r="E74" s="87" t="s">
        <v>41</v>
      </c>
      <c r="F74">
        <v>0.98129999999999995</v>
      </c>
      <c r="G74">
        <v>0.99919999999999998</v>
      </c>
    </row>
    <row r="75" spans="1:7">
      <c r="A75" s="20" t="s">
        <v>74</v>
      </c>
      <c r="B75" s="63">
        <v>9</v>
      </c>
      <c r="C75" s="96">
        <v>43595</v>
      </c>
      <c r="D75" s="63" t="s">
        <v>121</v>
      </c>
      <c r="E75" s="63" t="s">
        <v>40</v>
      </c>
      <c r="F75">
        <v>0.9677</v>
      </c>
      <c r="G75">
        <v>0.99760000000000004</v>
      </c>
    </row>
    <row r="76" spans="1:7">
      <c r="A76" s="60" t="s">
        <v>74</v>
      </c>
      <c r="B76" s="61">
        <v>9</v>
      </c>
      <c r="C76" s="62">
        <v>43595</v>
      </c>
      <c r="D76" s="61" t="s">
        <v>122</v>
      </c>
      <c r="E76" s="61" t="s">
        <v>41</v>
      </c>
      <c r="F76">
        <v>0.98960000000000004</v>
      </c>
      <c r="G76">
        <v>1.0173000000000001</v>
      </c>
    </row>
    <row r="77" spans="1:7">
      <c r="A77" s="72" t="s">
        <v>28</v>
      </c>
      <c r="B77" s="73">
        <v>9</v>
      </c>
      <c r="C77" s="74">
        <v>43595</v>
      </c>
      <c r="D77" s="75" t="s">
        <v>123</v>
      </c>
      <c r="E77" s="75" t="s">
        <v>40</v>
      </c>
      <c r="F77">
        <v>0.97399999999999998</v>
      </c>
      <c r="G77">
        <v>1.0168999999999999</v>
      </c>
    </row>
    <row r="78" spans="1:7">
      <c r="A78" s="72" t="s">
        <v>28</v>
      </c>
      <c r="B78" s="73">
        <v>9</v>
      </c>
      <c r="C78" s="74">
        <v>43595</v>
      </c>
      <c r="D78" s="75" t="s">
        <v>124</v>
      </c>
      <c r="E78" s="75" t="s">
        <v>41</v>
      </c>
      <c r="F78">
        <v>0.9758</v>
      </c>
      <c r="G78">
        <v>1.0139</v>
      </c>
    </row>
    <row r="79" spans="1:7">
      <c r="A79" s="60" t="s">
        <v>83</v>
      </c>
      <c r="B79" s="61">
        <v>9</v>
      </c>
      <c r="C79" s="62">
        <v>43595</v>
      </c>
      <c r="D79" s="61" t="s">
        <v>125</v>
      </c>
      <c r="E79" s="61" t="s">
        <v>40</v>
      </c>
      <c r="F79">
        <v>0.99399999999999999</v>
      </c>
      <c r="G79">
        <v>1.0053000000000001</v>
      </c>
    </row>
    <row r="80" spans="1:7">
      <c r="A80" s="60" t="s">
        <v>83</v>
      </c>
      <c r="B80" s="61">
        <v>9</v>
      </c>
      <c r="C80" s="62">
        <v>43595</v>
      </c>
      <c r="D80" s="61" t="s">
        <v>126</v>
      </c>
      <c r="E80" s="61" t="s">
        <v>41</v>
      </c>
      <c r="F80">
        <v>0.96840000000000004</v>
      </c>
      <c r="G80">
        <v>0.9929</v>
      </c>
    </row>
    <row r="81" spans="1:7">
      <c r="A81" s="72" t="s">
        <v>8</v>
      </c>
      <c r="B81" s="73">
        <v>9</v>
      </c>
      <c r="C81" s="74">
        <v>43595</v>
      </c>
      <c r="D81" s="75" t="s">
        <v>127</v>
      </c>
      <c r="E81" s="75" t="s">
        <v>40</v>
      </c>
      <c r="F81">
        <v>0.9899</v>
      </c>
      <c r="G81">
        <v>1.0163</v>
      </c>
    </row>
    <row r="82" spans="1:7" ht="17" thickBot="1">
      <c r="A82" s="84" t="s">
        <v>8</v>
      </c>
      <c r="B82" s="85">
        <v>9</v>
      </c>
      <c r="C82" s="86">
        <v>43595</v>
      </c>
      <c r="D82" s="87" t="s">
        <v>128</v>
      </c>
      <c r="E82" s="87" t="s">
        <v>41</v>
      </c>
      <c r="F82">
        <v>0.9758</v>
      </c>
      <c r="G82">
        <v>0.99819999999999998</v>
      </c>
    </row>
    <row r="83" spans="1:7">
      <c r="A83" s="20" t="s">
        <v>74</v>
      </c>
      <c r="B83" s="63">
        <v>10</v>
      </c>
      <c r="C83" s="96">
        <v>43596</v>
      </c>
      <c r="D83" s="63" t="s">
        <v>121</v>
      </c>
      <c r="E83" s="63" t="s">
        <v>40</v>
      </c>
      <c r="F83">
        <v>0.97689999999999999</v>
      </c>
      <c r="G83">
        <v>1.0049999999999999</v>
      </c>
    </row>
    <row r="84" spans="1:7">
      <c r="A84" s="60" t="s">
        <v>74</v>
      </c>
      <c r="B84" s="61">
        <v>10</v>
      </c>
      <c r="C84" s="62">
        <v>43596</v>
      </c>
      <c r="D84" s="61" t="s">
        <v>122</v>
      </c>
      <c r="E84" s="61" t="s">
        <v>41</v>
      </c>
      <c r="F84">
        <v>0.98850000000000005</v>
      </c>
      <c r="G84">
        <v>1.0089999999999999</v>
      </c>
    </row>
    <row r="85" spans="1:7">
      <c r="A85" s="72" t="s">
        <v>28</v>
      </c>
      <c r="B85" s="73">
        <v>10</v>
      </c>
      <c r="C85" s="74">
        <v>43596</v>
      </c>
      <c r="D85" s="75" t="s">
        <v>123</v>
      </c>
      <c r="E85" s="75" t="s">
        <v>40</v>
      </c>
      <c r="F85">
        <v>0.97109999999999996</v>
      </c>
      <c r="G85">
        <v>0.98240000000000005</v>
      </c>
    </row>
    <row r="86" spans="1:7">
      <c r="A86" s="72" t="s">
        <v>28</v>
      </c>
      <c r="B86" s="73">
        <v>10</v>
      </c>
      <c r="C86" s="74">
        <v>43596</v>
      </c>
      <c r="D86" s="75" t="s">
        <v>124</v>
      </c>
      <c r="E86" s="75" t="s">
        <v>41</v>
      </c>
      <c r="F86">
        <v>0.98160000000000003</v>
      </c>
      <c r="G86">
        <v>0.99419999999999997</v>
      </c>
    </row>
    <row r="87" spans="1:7">
      <c r="A87" s="60" t="s">
        <v>83</v>
      </c>
      <c r="B87" s="61">
        <v>10</v>
      </c>
      <c r="C87" s="62">
        <v>43596</v>
      </c>
      <c r="D87" s="61" t="s">
        <v>125</v>
      </c>
      <c r="E87" s="61" t="s">
        <v>40</v>
      </c>
      <c r="F87">
        <v>0.98299999999999998</v>
      </c>
      <c r="G87">
        <v>0.99609999999999999</v>
      </c>
    </row>
    <row r="88" spans="1:7">
      <c r="A88" s="60" t="s">
        <v>83</v>
      </c>
      <c r="B88" s="61">
        <v>10</v>
      </c>
      <c r="C88" s="62">
        <v>43596</v>
      </c>
      <c r="D88" s="61" t="s">
        <v>126</v>
      </c>
      <c r="E88" s="61" t="s">
        <v>41</v>
      </c>
      <c r="F88">
        <v>0.98829999999999996</v>
      </c>
      <c r="G88">
        <v>1.002</v>
      </c>
    </row>
    <row r="89" spans="1:7">
      <c r="A89" s="72" t="s">
        <v>8</v>
      </c>
      <c r="B89" s="73">
        <v>10</v>
      </c>
      <c r="C89" s="74">
        <v>43596</v>
      </c>
      <c r="D89" s="75" t="s">
        <v>127</v>
      </c>
      <c r="E89" s="75" t="s">
        <v>40</v>
      </c>
      <c r="F89">
        <v>0.98019999999999996</v>
      </c>
      <c r="G89">
        <v>1.004</v>
      </c>
    </row>
    <row r="90" spans="1:7" ht="17" thickBot="1">
      <c r="A90" s="84" t="s">
        <v>8</v>
      </c>
      <c r="B90" s="85">
        <v>10</v>
      </c>
      <c r="C90" s="86">
        <v>43596</v>
      </c>
      <c r="D90" s="87" t="s">
        <v>128</v>
      </c>
      <c r="E90" s="87" t="s">
        <v>41</v>
      </c>
      <c r="F90">
        <v>0.96760000000000002</v>
      </c>
      <c r="G90">
        <v>0.98499999999999999</v>
      </c>
    </row>
  </sheetData>
  <mergeCells count="11">
    <mergeCell ref="R1:S1"/>
    <mergeCell ref="T1:U1"/>
    <mergeCell ref="V1:W1"/>
    <mergeCell ref="X1:Y1"/>
    <mergeCell ref="Z1:AA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  <pageSetup scale="36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CFDB-3796-DD4D-B740-52005E823042}">
  <dimension ref="A1:P32"/>
  <sheetViews>
    <sheetView workbookViewId="0">
      <selection activeCell="E32" sqref="E32"/>
    </sheetView>
  </sheetViews>
  <sheetFormatPr baseColWidth="10" defaultRowHeight="16"/>
  <sheetData>
    <row r="1" spans="1:16">
      <c r="A1" t="s">
        <v>152</v>
      </c>
      <c r="L1" t="s">
        <v>100</v>
      </c>
    </row>
    <row r="2" spans="1:16">
      <c r="A2" s="35" t="s">
        <v>99</v>
      </c>
      <c r="L2" t="s">
        <v>101</v>
      </c>
      <c r="M2">
        <v>7000000</v>
      </c>
      <c r="O2" t="s">
        <v>103</v>
      </c>
      <c r="P2">
        <v>210000</v>
      </c>
    </row>
    <row r="3" spans="1:16">
      <c r="A3" s="35"/>
      <c r="B3" t="s">
        <v>191</v>
      </c>
      <c r="C3" t="s">
        <v>192</v>
      </c>
      <c r="D3" t="s">
        <v>193</v>
      </c>
    </row>
    <row r="4" spans="1:16">
      <c r="B4">
        <v>1000</v>
      </c>
      <c r="C4">
        <v>970</v>
      </c>
      <c r="D4">
        <v>30</v>
      </c>
      <c r="L4" t="s">
        <v>102</v>
      </c>
      <c r="M4">
        <v>30</v>
      </c>
      <c r="N4" t="s">
        <v>104</v>
      </c>
    </row>
    <row r="5" spans="1:16">
      <c r="A5" t="s">
        <v>52</v>
      </c>
    </row>
    <row r="6" spans="1:16" ht="19">
      <c r="A6" t="s">
        <v>187</v>
      </c>
    </row>
    <row r="8" spans="1:16">
      <c r="A8" t="s">
        <v>149</v>
      </c>
    </row>
    <row r="9" spans="1:16" ht="19">
      <c r="B9" t="s">
        <v>53</v>
      </c>
      <c r="C9" s="36" t="s">
        <v>54</v>
      </c>
      <c r="D9" s="36" t="s">
        <v>55</v>
      </c>
      <c r="E9" s="36" t="s">
        <v>56</v>
      </c>
      <c r="F9" s="36" t="s">
        <v>57</v>
      </c>
    </row>
    <row r="10" spans="1:16">
      <c r="A10" t="s">
        <v>188</v>
      </c>
      <c r="B10" s="117">
        <v>1</v>
      </c>
      <c r="C10">
        <f>10^-1</f>
        <v>0.1</v>
      </c>
      <c r="D10">
        <f>10^-2</f>
        <v>0.01</v>
      </c>
      <c r="E10">
        <f>10^-3</f>
        <v>1E-3</v>
      </c>
      <c r="F10">
        <f>10^-4</f>
        <v>1E-4</v>
      </c>
    </row>
    <row r="11" spans="1:16" s="118" customFormat="1">
      <c r="A11" s="118" t="s">
        <v>189</v>
      </c>
      <c r="B11" s="117">
        <v>0</v>
      </c>
      <c r="C11" s="117">
        <v>50</v>
      </c>
      <c r="D11" s="117">
        <v>50</v>
      </c>
      <c r="E11" s="117">
        <v>50</v>
      </c>
      <c r="F11" s="117">
        <v>50</v>
      </c>
      <c r="G11" s="119">
        <v>43584</v>
      </c>
    </row>
    <row r="12" spans="1:16">
      <c r="A12" t="s">
        <v>58</v>
      </c>
      <c r="B12" s="13" t="s">
        <v>106</v>
      </c>
      <c r="C12" s="13">
        <v>71</v>
      </c>
      <c r="D12" s="13">
        <v>8</v>
      </c>
      <c r="E12" s="13">
        <v>0</v>
      </c>
      <c r="F12" s="13">
        <v>0</v>
      </c>
      <c r="G12" s="119">
        <v>43584</v>
      </c>
      <c r="H12" t="s">
        <v>190</v>
      </c>
    </row>
    <row r="13" spans="1:16">
      <c r="A13" s="118" t="s">
        <v>189</v>
      </c>
      <c r="B13" s="117">
        <v>0</v>
      </c>
      <c r="C13" s="117">
        <v>50</v>
      </c>
      <c r="D13" s="117">
        <v>50</v>
      </c>
      <c r="E13" s="117">
        <v>50</v>
      </c>
      <c r="F13" s="117">
        <v>50</v>
      </c>
      <c r="G13" s="119">
        <v>43585</v>
      </c>
    </row>
    <row r="14" spans="1:16">
      <c r="A14" t="s">
        <v>58</v>
      </c>
      <c r="B14" s="13" t="s">
        <v>106</v>
      </c>
      <c r="C14" s="13" t="s">
        <v>59</v>
      </c>
      <c r="D14" s="13">
        <v>150</v>
      </c>
      <c r="E14" s="13">
        <v>18</v>
      </c>
      <c r="F14" s="13">
        <v>1</v>
      </c>
      <c r="G14" s="120">
        <v>43585</v>
      </c>
      <c r="H14" t="s">
        <v>194</v>
      </c>
    </row>
    <row r="15" spans="1:16">
      <c r="A15" t="s">
        <v>60</v>
      </c>
    </row>
    <row r="17" spans="1:5">
      <c r="A17" s="22" t="s">
        <v>61</v>
      </c>
    </row>
    <row r="18" spans="1:5">
      <c r="A18" s="37" t="s">
        <v>62</v>
      </c>
    </row>
    <row r="19" spans="1:5">
      <c r="A19" s="38">
        <f>((1/(D4/B4))*(1/D10)*(1/(D13/1000))*D14)</f>
        <v>10000000</v>
      </c>
      <c r="B19" s="38"/>
      <c r="C19" s="38"/>
      <c r="D19" s="38"/>
    </row>
    <row r="20" spans="1:5">
      <c r="A20" s="22" t="s">
        <v>63</v>
      </c>
    </row>
    <row r="21" spans="1:5">
      <c r="A21" s="37" t="s">
        <v>64</v>
      </c>
    </row>
    <row r="22" spans="1:5">
      <c r="A22" s="38">
        <f xml:space="preserve"> (1/D10) * (1/(D13/1000)) * D14</f>
        <v>300000</v>
      </c>
      <c r="C22" t="s">
        <v>105</v>
      </c>
      <c r="D22" s="38">
        <f>(25/1000)*A22</f>
        <v>7500</v>
      </c>
    </row>
    <row r="25" spans="1:5">
      <c r="A25" t="s">
        <v>150</v>
      </c>
    </row>
    <row r="27" spans="1:5">
      <c r="A27" t="s">
        <v>151</v>
      </c>
    </row>
    <row r="28" spans="1:5" ht="19">
      <c r="C28" s="36" t="s">
        <v>71</v>
      </c>
      <c r="D28" s="36" t="s">
        <v>55</v>
      </c>
      <c r="E28" s="36" t="s">
        <v>56</v>
      </c>
    </row>
    <row r="29" spans="1:5">
      <c r="B29" t="s">
        <v>188</v>
      </c>
      <c r="C29" s="117">
        <f>10^-1</f>
        <v>0.1</v>
      </c>
      <c r="D29" s="117">
        <f>10^-2</f>
        <v>0.01</v>
      </c>
      <c r="E29" s="117">
        <f>10^-3</f>
        <v>1E-3</v>
      </c>
    </row>
    <row r="30" spans="1:5">
      <c r="C30" s="117">
        <v>100</v>
      </c>
      <c r="D30" s="117">
        <v>50</v>
      </c>
      <c r="E30" s="117">
        <v>50</v>
      </c>
    </row>
    <row r="31" spans="1:5">
      <c r="C31" s="13" t="s">
        <v>59</v>
      </c>
      <c r="D31" s="13">
        <v>166</v>
      </c>
      <c r="E31" s="13">
        <v>19</v>
      </c>
    </row>
    <row r="32" spans="1:5">
      <c r="D32" s="38">
        <f xml:space="preserve"> (1/D29) * (1/(D30/1000)) * D31</f>
        <v>332000</v>
      </c>
      <c r="E32" s="38">
        <f xml:space="preserve"> (1/E29) * (1/(E30/1000)) * E31</f>
        <v>380000</v>
      </c>
    </row>
  </sheetData>
  <pageMargins left="0.7" right="0.7" top="0.75" bottom="0.75" header="0.3" footer="0.3"/>
  <pageSetup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C063-567F-134D-A42D-1EFC314E356C}">
  <sheetPr>
    <pageSetUpPr fitToPage="1"/>
  </sheetPr>
  <dimension ref="A1:Z109"/>
  <sheetViews>
    <sheetView topLeftCell="G1" workbookViewId="0">
      <pane ySplit="1" topLeftCell="A7" activePane="bottomLeft" state="frozen"/>
      <selection pane="bottomLeft" activeCell="Z16" sqref="Z16"/>
    </sheetView>
  </sheetViews>
  <sheetFormatPr baseColWidth="10" defaultRowHeight="16"/>
  <cols>
    <col min="1" max="16384" width="10.83203125" style="49"/>
  </cols>
  <sheetData>
    <row r="1" spans="1:26" customFormat="1" ht="139">
      <c r="A1" s="94" t="s">
        <v>31</v>
      </c>
      <c r="B1" s="58" t="s">
        <v>65</v>
      </c>
      <c r="C1" s="58" t="s">
        <v>66</v>
      </c>
      <c r="D1" s="95" t="s">
        <v>32</v>
      </c>
      <c r="E1" s="95" t="s">
        <v>25</v>
      </c>
      <c r="F1" s="58" t="s">
        <v>50</v>
      </c>
      <c r="G1" s="58" t="s">
        <v>49</v>
      </c>
      <c r="H1" s="58" t="s">
        <v>67</v>
      </c>
      <c r="I1" s="58" t="s">
        <v>107</v>
      </c>
      <c r="J1" s="58" t="s">
        <v>108</v>
      </c>
      <c r="K1" s="58" t="s">
        <v>109</v>
      </c>
      <c r="L1" s="58" t="s">
        <v>110</v>
      </c>
      <c r="M1" s="58" t="s">
        <v>111</v>
      </c>
      <c r="N1" s="58" t="s">
        <v>112</v>
      </c>
      <c r="O1" s="58" t="s">
        <v>113</v>
      </c>
      <c r="P1" s="58" t="s">
        <v>68</v>
      </c>
      <c r="Q1" s="58" t="s">
        <v>69</v>
      </c>
      <c r="R1" s="58" t="s">
        <v>134</v>
      </c>
      <c r="S1" s="58" t="s">
        <v>135</v>
      </c>
      <c r="T1" s="58" t="s">
        <v>136</v>
      </c>
      <c r="U1" s="58" t="s">
        <v>137</v>
      </c>
      <c r="V1" s="58" t="s">
        <v>138</v>
      </c>
      <c r="W1" s="58" t="s">
        <v>139</v>
      </c>
      <c r="X1" s="58" t="s">
        <v>4</v>
      </c>
      <c r="Y1" s="59" t="s">
        <v>72</v>
      </c>
    </row>
    <row r="2" spans="1:26" customFormat="1">
      <c r="A2" s="20" t="s">
        <v>74</v>
      </c>
      <c r="B2" s="63">
        <v>0</v>
      </c>
      <c r="C2" s="96">
        <v>43586</v>
      </c>
      <c r="D2" s="63" t="s">
        <v>121</v>
      </c>
      <c r="E2" s="63" t="s">
        <v>40</v>
      </c>
      <c r="F2" s="64">
        <f>'Tube wts'!F3</f>
        <v>0.98260000000000003</v>
      </c>
      <c r="G2" s="64">
        <f>'Tube wts'!G3</f>
        <v>1.0207999999999999</v>
      </c>
      <c r="H2" s="63">
        <f>G2-F2</f>
        <v>3.8199999999999901E-2</v>
      </c>
      <c r="I2" s="63">
        <f>H2*9000</f>
        <v>343.7999999999991</v>
      </c>
      <c r="J2" s="63">
        <v>0</v>
      </c>
      <c r="K2" s="64" t="s">
        <v>106</v>
      </c>
      <c r="L2" s="64" t="s">
        <v>106</v>
      </c>
      <c r="M2" s="64" t="s">
        <v>106</v>
      </c>
      <c r="N2" s="64" t="s">
        <v>106</v>
      </c>
      <c r="O2" s="64" t="s">
        <v>106</v>
      </c>
      <c r="P2" s="64">
        <v>50</v>
      </c>
      <c r="Q2" s="64">
        <f>1/(P2/1000)</f>
        <v>20</v>
      </c>
      <c r="R2" s="39">
        <f>Q2 * (1/10^-1) *J2</f>
        <v>0</v>
      </c>
      <c r="S2" s="39"/>
      <c r="T2" s="39"/>
      <c r="U2" s="39"/>
      <c r="V2" s="39"/>
      <c r="W2" s="39"/>
      <c r="X2" s="97"/>
      <c r="Y2" s="98">
        <f>AVERAGE(R2:W2)</f>
        <v>0</v>
      </c>
    </row>
    <row r="3" spans="1:26" customFormat="1">
      <c r="A3" s="60" t="s">
        <v>74</v>
      </c>
      <c r="B3" s="61">
        <v>0</v>
      </c>
      <c r="C3" s="62">
        <v>43586</v>
      </c>
      <c r="D3" s="61" t="s">
        <v>122</v>
      </c>
      <c r="E3" s="61" t="s">
        <v>41</v>
      </c>
      <c r="F3" s="64">
        <f>'Tube wts'!F4</f>
        <v>0.98360000000000003</v>
      </c>
      <c r="G3" s="64">
        <f>'Tube wts'!G4</f>
        <v>1.0139</v>
      </c>
      <c r="H3" s="61">
        <f t="shared" ref="H3:H9" si="0">G3-F3</f>
        <v>3.0299999999999994E-2</v>
      </c>
      <c r="I3" s="61">
        <f t="shared" ref="I3:I67" si="1">H3*9000</f>
        <v>272.69999999999993</v>
      </c>
      <c r="J3" s="26">
        <v>0</v>
      </c>
      <c r="K3" s="26" t="s">
        <v>106</v>
      </c>
      <c r="L3" s="26" t="s">
        <v>106</v>
      </c>
      <c r="M3" s="26" t="s">
        <v>106</v>
      </c>
      <c r="N3" s="26" t="s">
        <v>106</v>
      </c>
      <c r="O3" s="26" t="s">
        <v>106</v>
      </c>
      <c r="P3" s="26">
        <v>50</v>
      </c>
      <c r="Q3" s="64">
        <f t="shared" ref="Q3:Q67" si="2">1/(P3/1000)</f>
        <v>20</v>
      </c>
      <c r="R3" s="39">
        <f t="shared" ref="R3:R9" si="3">Q3 * (1/10^-1) *J3</f>
        <v>0</v>
      </c>
      <c r="S3" s="39"/>
      <c r="T3" s="39"/>
      <c r="U3" s="39"/>
      <c r="V3" s="39"/>
      <c r="W3" s="39"/>
      <c r="X3" s="80"/>
      <c r="Y3" s="81">
        <f t="shared" ref="Y3:Y9" si="4">AVERAGE(R3:W3)</f>
        <v>0</v>
      </c>
    </row>
    <row r="4" spans="1:26" s="79" customFormat="1">
      <c r="A4" s="72" t="s">
        <v>28</v>
      </c>
      <c r="B4" s="73">
        <v>0</v>
      </c>
      <c r="C4" s="74">
        <v>43586</v>
      </c>
      <c r="D4" s="75" t="s">
        <v>123</v>
      </c>
      <c r="E4" s="75" t="s">
        <v>40</v>
      </c>
      <c r="F4" s="64">
        <f>'Tube wts'!F5</f>
        <v>0.9798</v>
      </c>
      <c r="G4" s="64">
        <f>'Tube wts'!G5</f>
        <v>1.0092000000000001</v>
      </c>
      <c r="H4" s="73">
        <f t="shared" si="0"/>
        <v>2.9400000000000093E-2</v>
      </c>
      <c r="I4" s="73">
        <f t="shared" si="1"/>
        <v>264.60000000000082</v>
      </c>
      <c r="J4" s="76">
        <v>0</v>
      </c>
      <c r="K4" s="76" t="s">
        <v>106</v>
      </c>
      <c r="L4" s="76" t="s">
        <v>106</v>
      </c>
      <c r="M4" s="76" t="s">
        <v>106</v>
      </c>
      <c r="N4" s="76" t="s">
        <v>106</v>
      </c>
      <c r="O4" s="76" t="s">
        <v>106</v>
      </c>
      <c r="P4" s="76">
        <v>50</v>
      </c>
      <c r="Q4" s="77">
        <f t="shared" si="2"/>
        <v>20</v>
      </c>
      <c r="R4" s="78">
        <f t="shared" si="3"/>
        <v>0</v>
      </c>
      <c r="S4" s="78"/>
      <c r="T4" s="78"/>
      <c r="U4" s="78"/>
      <c r="V4" s="78"/>
      <c r="W4" s="78"/>
      <c r="X4" s="82"/>
      <c r="Y4" s="83">
        <f t="shared" si="4"/>
        <v>0</v>
      </c>
    </row>
    <row r="5" spans="1:26" s="79" customFormat="1">
      <c r="A5" s="72" t="s">
        <v>28</v>
      </c>
      <c r="B5" s="73">
        <v>0</v>
      </c>
      <c r="C5" s="74">
        <v>43586</v>
      </c>
      <c r="D5" s="75" t="s">
        <v>124</v>
      </c>
      <c r="E5" s="75" t="s">
        <v>41</v>
      </c>
      <c r="F5" s="64">
        <f>'Tube wts'!F6</f>
        <v>0.97960000000000003</v>
      </c>
      <c r="G5" s="64">
        <f>'Tube wts'!G6</f>
        <v>1.0044999999999999</v>
      </c>
      <c r="H5" s="73">
        <f t="shared" si="0"/>
        <v>2.4899999999999922E-2</v>
      </c>
      <c r="I5" s="73">
        <f t="shared" si="1"/>
        <v>224.09999999999931</v>
      </c>
      <c r="J5" s="76">
        <v>0</v>
      </c>
      <c r="K5" s="76" t="s">
        <v>106</v>
      </c>
      <c r="L5" s="76" t="s">
        <v>106</v>
      </c>
      <c r="M5" s="76" t="s">
        <v>106</v>
      </c>
      <c r="N5" s="76" t="s">
        <v>106</v>
      </c>
      <c r="O5" s="76" t="s">
        <v>106</v>
      </c>
      <c r="P5" s="76">
        <v>50</v>
      </c>
      <c r="Q5" s="77">
        <f t="shared" si="2"/>
        <v>20</v>
      </c>
      <c r="R5" s="78">
        <f t="shared" si="3"/>
        <v>0</v>
      </c>
      <c r="S5" s="78"/>
      <c r="T5" s="78"/>
      <c r="U5" s="78"/>
      <c r="V5" s="78"/>
      <c r="W5" s="78"/>
      <c r="X5" s="82"/>
      <c r="Y5" s="83">
        <f t="shared" si="4"/>
        <v>0</v>
      </c>
    </row>
    <row r="6" spans="1:26" customFormat="1">
      <c r="A6" s="60" t="s">
        <v>83</v>
      </c>
      <c r="B6" s="61">
        <v>0</v>
      </c>
      <c r="C6" s="62">
        <v>43586</v>
      </c>
      <c r="D6" s="61" t="s">
        <v>125</v>
      </c>
      <c r="E6" s="61" t="s">
        <v>40</v>
      </c>
      <c r="F6" s="64">
        <f>'Tube wts'!F7</f>
        <v>0.98780000000000001</v>
      </c>
      <c r="G6" s="64">
        <f>'Tube wts'!G7</f>
        <v>1.0075000000000001</v>
      </c>
      <c r="H6" s="61">
        <f t="shared" si="0"/>
        <v>1.9700000000000051E-2</v>
      </c>
      <c r="I6" s="61">
        <f t="shared" si="1"/>
        <v>177.30000000000047</v>
      </c>
      <c r="J6" s="26">
        <v>0</v>
      </c>
      <c r="K6" s="26" t="s">
        <v>106</v>
      </c>
      <c r="L6" s="26" t="s">
        <v>106</v>
      </c>
      <c r="M6" s="26" t="s">
        <v>106</v>
      </c>
      <c r="N6" s="26" t="s">
        <v>106</v>
      </c>
      <c r="O6" s="26" t="s">
        <v>106</v>
      </c>
      <c r="P6" s="26">
        <v>50</v>
      </c>
      <c r="Q6" s="64">
        <f t="shared" si="2"/>
        <v>20</v>
      </c>
      <c r="R6" s="39">
        <f t="shared" si="3"/>
        <v>0</v>
      </c>
      <c r="S6" s="39"/>
      <c r="T6" s="39"/>
      <c r="U6" s="39"/>
      <c r="V6" s="39"/>
      <c r="W6" s="39"/>
      <c r="X6" s="80"/>
      <c r="Y6" s="81">
        <f t="shared" si="4"/>
        <v>0</v>
      </c>
    </row>
    <row r="7" spans="1:26" customFormat="1">
      <c r="A7" s="60" t="s">
        <v>83</v>
      </c>
      <c r="B7" s="61">
        <v>0</v>
      </c>
      <c r="C7" s="62">
        <v>43586</v>
      </c>
      <c r="D7" s="61" t="s">
        <v>126</v>
      </c>
      <c r="E7" s="61" t="s">
        <v>41</v>
      </c>
      <c r="F7" s="64">
        <f>'Tube wts'!F8</f>
        <v>0.98709999999999998</v>
      </c>
      <c r="G7" s="64">
        <f>'Tube wts'!G8</f>
        <v>1.0065</v>
      </c>
      <c r="H7" s="61">
        <f t="shared" si="0"/>
        <v>1.9399999999999973E-2</v>
      </c>
      <c r="I7" s="61">
        <f t="shared" si="1"/>
        <v>174.59999999999977</v>
      </c>
      <c r="J7" s="26">
        <v>0</v>
      </c>
      <c r="K7" s="26" t="s">
        <v>106</v>
      </c>
      <c r="L7" s="26" t="s">
        <v>106</v>
      </c>
      <c r="M7" s="26" t="s">
        <v>106</v>
      </c>
      <c r="N7" s="26" t="s">
        <v>106</v>
      </c>
      <c r="O7" s="26" t="s">
        <v>106</v>
      </c>
      <c r="P7" s="26">
        <v>50</v>
      </c>
      <c r="Q7" s="64">
        <f t="shared" si="2"/>
        <v>20</v>
      </c>
      <c r="R7" s="39">
        <f t="shared" si="3"/>
        <v>0</v>
      </c>
      <c r="S7" s="39"/>
      <c r="T7" s="39"/>
      <c r="U7" s="39"/>
      <c r="V7" s="39"/>
      <c r="W7" s="39"/>
      <c r="X7" s="80"/>
      <c r="Y7" s="81">
        <f t="shared" si="4"/>
        <v>0</v>
      </c>
    </row>
    <row r="8" spans="1:26" s="79" customFormat="1">
      <c r="A8" s="72" t="s">
        <v>8</v>
      </c>
      <c r="B8" s="73">
        <v>0</v>
      </c>
      <c r="C8" s="74">
        <v>43586</v>
      </c>
      <c r="D8" s="75" t="s">
        <v>127</v>
      </c>
      <c r="E8" s="75" t="s">
        <v>40</v>
      </c>
      <c r="F8" s="64">
        <f>'Tube wts'!F9</f>
        <v>0.98470000000000002</v>
      </c>
      <c r="G8" s="64">
        <f>'Tube wts'!G9</f>
        <v>1.0198</v>
      </c>
      <c r="H8" s="73">
        <f t="shared" si="0"/>
        <v>3.510000000000002E-2</v>
      </c>
      <c r="I8" s="73">
        <f t="shared" si="1"/>
        <v>315.9000000000002</v>
      </c>
      <c r="J8" s="76">
        <v>0</v>
      </c>
      <c r="K8" s="76" t="s">
        <v>106</v>
      </c>
      <c r="L8" s="76" t="s">
        <v>106</v>
      </c>
      <c r="M8" s="76" t="s">
        <v>106</v>
      </c>
      <c r="N8" s="76" t="s">
        <v>106</v>
      </c>
      <c r="O8" s="76" t="s">
        <v>106</v>
      </c>
      <c r="P8" s="76">
        <v>50</v>
      </c>
      <c r="Q8" s="77">
        <f t="shared" si="2"/>
        <v>20</v>
      </c>
      <c r="R8" s="78">
        <f t="shared" si="3"/>
        <v>0</v>
      </c>
      <c r="S8" s="78"/>
      <c r="T8" s="78"/>
      <c r="U8" s="78"/>
      <c r="V8" s="78"/>
      <c r="W8" s="78"/>
      <c r="X8" s="82"/>
      <c r="Y8" s="83">
        <f t="shared" si="4"/>
        <v>0</v>
      </c>
    </row>
    <row r="9" spans="1:26" s="79" customFormat="1" ht="17" thickBot="1">
      <c r="A9" s="84" t="s">
        <v>8</v>
      </c>
      <c r="B9" s="85">
        <v>0</v>
      </c>
      <c r="C9" s="86">
        <v>43586</v>
      </c>
      <c r="D9" s="87" t="s">
        <v>128</v>
      </c>
      <c r="E9" s="87" t="s">
        <v>41</v>
      </c>
      <c r="F9" s="64">
        <f>'Tube wts'!F10</f>
        <v>0.98540000000000005</v>
      </c>
      <c r="G9" s="64">
        <f>'Tube wts'!G10</f>
        <v>1.0056</v>
      </c>
      <c r="H9" s="85">
        <f t="shared" si="0"/>
        <v>2.0199999999999996E-2</v>
      </c>
      <c r="I9" s="85">
        <f t="shared" si="1"/>
        <v>181.79999999999995</v>
      </c>
      <c r="J9" s="89">
        <v>0</v>
      </c>
      <c r="K9" s="89" t="s">
        <v>106</v>
      </c>
      <c r="L9" s="89" t="s">
        <v>106</v>
      </c>
      <c r="M9" s="89" t="s">
        <v>106</v>
      </c>
      <c r="N9" s="89" t="s">
        <v>106</v>
      </c>
      <c r="O9" s="89" t="s">
        <v>106</v>
      </c>
      <c r="P9" s="88">
        <v>50</v>
      </c>
      <c r="Q9" s="90">
        <f t="shared" si="2"/>
        <v>20</v>
      </c>
      <c r="R9" s="91">
        <f t="shared" si="3"/>
        <v>0</v>
      </c>
      <c r="S9" s="91"/>
      <c r="T9" s="91"/>
      <c r="U9" s="91"/>
      <c r="V9" s="91"/>
      <c r="W9" s="91"/>
      <c r="X9" s="92"/>
      <c r="Y9" s="93">
        <f t="shared" si="4"/>
        <v>0</v>
      </c>
    </row>
    <row r="10" spans="1:26" customFormat="1">
      <c r="A10" s="20" t="s">
        <v>74</v>
      </c>
      <c r="B10" s="63">
        <v>1</v>
      </c>
      <c r="C10" s="96">
        <v>43587</v>
      </c>
      <c r="D10" s="63" t="s">
        <v>121</v>
      </c>
      <c r="E10" s="63" t="s">
        <v>40</v>
      </c>
      <c r="F10" s="64">
        <f>'Tube wts'!F11</f>
        <v>0.97119999999999995</v>
      </c>
      <c r="G10" s="64">
        <f>'Tube wts'!G11</f>
        <v>1.0411999999999999</v>
      </c>
      <c r="H10" s="63">
        <f>G10-F10</f>
        <v>6.9999999999999951E-2</v>
      </c>
      <c r="I10" s="63">
        <f>H10*9000</f>
        <v>629.99999999999955</v>
      </c>
      <c r="J10" s="63" t="s">
        <v>106</v>
      </c>
      <c r="K10" s="64" t="s">
        <v>106</v>
      </c>
      <c r="L10" s="64" t="s">
        <v>59</v>
      </c>
      <c r="M10" s="64" t="s">
        <v>59</v>
      </c>
      <c r="N10" s="64">
        <v>41</v>
      </c>
      <c r="O10" s="64">
        <v>4</v>
      </c>
      <c r="P10" s="64">
        <v>50</v>
      </c>
      <c r="Q10" s="64">
        <f>1/(P10/1000)</f>
        <v>20</v>
      </c>
      <c r="R10" s="39"/>
      <c r="S10" s="39"/>
      <c r="T10" s="39"/>
      <c r="U10" s="39"/>
      <c r="V10" s="39">
        <f>Q10 * (1/10^-5) *N10</f>
        <v>81999999.999999985</v>
      </c>
      <c r="W10" s="39">
        <f>Q10 * (1/10^-6) *O10</f>
        <v>80000000</v>
      </c>
      <c r="X10" s="97"/>
      <c r="Y10" s="98">
        <f>AVERAGE(R10:W10)</f>
        <v>81000000</v>
      </c>
    </row>
    <row r="11" spans="1:26" customFormat="1">
      <c r="A11" s="60" t="s">
        <v>74</v>
      </c>
      <c r="B11" s="61">
        <v>1</v>
      </c>
      <c r="C11" s="96">
        <v>43587</v>
      </c>
      <c r="D11" s="61" t="s">
        <v>122</v>
      </c>
      <c r="E11" s="61" t="s">
        <v>41</v>
      </c>
      <c r="F11" s="64">
        <f>'Tube wts'!F12</f>
        <v>0.98839999999999995</v>
      </c>
      <c r="G11" s="64">
        <f>'Tube wts'!G12</f>
        <v>1.0281</v>
      </c>
      <c r="H11" s="61">
        <f t="shared" ref="H11:H17" si="5">G11-F11</f>
        <v>3.9700000000000069E-2</v>
      </c>
      <c r="I11" s="61">
        <f t="shared" si="1"/>
        <v>357.30000000000064</v>
      </c>
      <c r="J11" s="26" t="s">
        <v>106</v>
      </c>
      <c r="K11" s="26" t="s">
        <v>106</v>
      </c>
      <c r="L11" s="26" t="s">
        <v>59</v>
      </c>
      <c r="M11" s="26" t="s">
        <v>59</v>
      </c>
      <c r="N11" s="26">
        <v>23</v>
      </c>
      <c r="O11" s="26">
        <v>3</v>
      </c>
      <c r="P11" s="26">
        <v>50</v>
      </c>
      <c r="Q11" s="64">
        <f t="shared" si="2"/>
        <v>20</v>
      </c>
      <c r="R11" s="39"/>
      <c r="S11" s="39"/>
      <c r="T11" s="39"/>
      <c r="U11" s="39"/>
      <c r="V11" s="39">
        <f t="shared" ref="V11:V15" si="6">Q11 * (1/10^-5) *N11</f>
        <v>45999999.999999993</v>
      </c>
      <c r="W11" s="39">
        <f t="shared" ref="W11" si="7">Q11 * (1/10^-6) *O11</f>
        <v>60000000</v>
      </c>
      <c r="X11" s="80"/>
      <c r="Y11" s="81">
        <f t="shared" ref="Y11:Y17" si="8">AVERAGE(R11:W11)</f>
        <v>53000000</v>
      </c>
    </row>
    <row r="12" spans="1:26" customFormat="1">
      <c r="A12" s="72" t="s">
        <v>28</v>
      </c>
      <c r="B12" s="73">
        <v>1</v>
      </c>
      <c r="C12" s="74">
        <v>43587</v>
      </c>
      <c r="D12" s="75" t="s">
        <v>123</v>
      </c>
      <c r="E12" s="75" t="s">
        <v>40</v>
      </c>
      <c r="F12" s="64">
        <f>'Tube wts'!F13</f>
        <v>0.9788</v>
      </c>
      <c r="G12" s="64">
        <f>'Tube wts'!G13</f>
        <v>0.99860000000000004</v>
      </c>
      <c r="H12" s="73">
        <f t="shared" si="5"/>
        <v>1.980000000000004E-2</v>
      </c>
      <c r="I12" s="73">
        <f t="shared" si="1"/>
        <v>178.20000000000036</v>
      </c>
      <c r="J12" s="76" t="s">
        <v>59</v>
      </c>
      <c r="K12" s="76">
        <v>18</v>
      </c>
      <c r="L12" s="76">
        <v>2</v>
      </c>
      <c r="M12" s="76">
        <v>0</v>
      </c>
      <c r="N12" s="76">
        <v>0</v>
      </c>
      <c r="O12" s="76" t="s">
        <v>106</v>
      </c>
      <c r="P12" s="76">
        <v>50</v>
      </c>
      <c r="Q12" s="77">
        <f t="shared" si="2"/>
        <v>20</v>
      </c>
      <c r="R12" s="78"/>
      <c r="S12" s="78">
        <f t="shared" ref="S12" si="9">Q12 * (1/10^-2) *K12</f>
        <v>36000</v>
      </c>
      <c r="T12" s="78">
        <f t="shared" ref="T12:T65" si="10">Q12 * (1/10^-3) *L12</f>
        <v>40000</v>
      </c>
      <c r="U12" s="78">
        <f t="shared" ref="U12:U15" si="11">Q12 * (1/10^-4) *M12</f>
        <v>0</v>
      </c>
      <c r="V12" s="78">
        <f t="shared" si="6"/>
        <v>0</v>
      </c>
      <c r="W12" s="78"/>
      <c r="X12" s="82"/>
      <c r="Y12" s="83">
        <f>AVERAGE(R12:T12)</f>
        <v>38000</v>
      </c>
    </row>
    <row r="13" spans="1:26" customFormat="1">
      <c r="A13" s="72" t="s">
        <v>28</v>
      </c>
      <c r="B13" s="73">
        <v>1</v>
      </c>
      <c r="C13" s="74">
        <v>43587</v>
      </c>
      <c r="D13" s="75" t="s">
        <v>124</v>
      </c>
      <c r="E13" s="75" t="s">
        <v>41</v>
      </c>
      <c r="F13" s="64">
        <f>'Tube wts'!F14</f>
        <v>0.98229999999999995</v>
      </c>
      <c r="G13" s="64">
        <f>'Tube wts'!G14</f>
        <v>0.9919</v>
      </c>
      <c r="H13" s="73">
        <f t="shared" si="5"/>
        <v>9.6000000000000529E-3</v>
      </c>
      <c r="I13" s="73">
        <f t="shared" si="1"/>
        <v>86.400000000000475</v>
      </c>
      <c r="J13" s="76" t="s">
        <v>59</v>
      </c>
      <c r="K13" s="76" t="s">
        <v>59</v>
      </c>
      <c r="L13" s="76" t="s">
        <v>59</v>
      </c>
      <c r="M13" s="76">
        <v>81</v>
      </c>
      <c r="N13" s="76">
        <v>16</v>
      </c>
      <c r="O13" s="76" t="s">
        <v>106</v>
      </c>
      <c r="P13" s="76">
        <v>50</v>
      </c>
      <c r="Q13" s="77">
        <f t="shared" si="2"/>
        <v>20</v>
      </c>
      <c r="R13" s="78"/>
      <c r="S13" s="78"/>
      <c r="T13" s="78"/>
      <c r="U13" s="78">
        <f t="shared" si="11"/>
        <v>16200000</v>
      </c>
      <c r="V13" s="78">
        <f t="shared" si="6"/>
        <v>31999999.999999996</v>
      </c>
      <c r="W13" s="78"/>
      <c r="X13" s="82"/>
      <c r="Y13" s="83">
        <f t="shared" si="8"/>
        <v>24100000</v>
      </c>
    </row>
    <row r="14" spans="1:26" customFormat="1">
      <c r="A14" s="60" t="s">
        <v>83</v>
      </c>
      <c r="B14" s="61">
        <v>1</v>
      </c>
      <c r="C14" s="96">
        <v>43587</v>
      </c>
      <c r="D14" s="61" t="s">
        <v>125</v>
      </c>
      <c r="E14" s="61" t="s">
        <v>40</v>
      </c>
      <c r="F14" s="64">
        <f>'Tube wts'!F15</f>
        <v>0.98419999999999996</v>
      </c>
      <c r="G14" s="64">
        <f>'Tube wts'!G15</f>
        <v>0.99690000000000001</v>
      </c>
      <c r="H14" s="61">
        <f t="shared" si="5"/>
        <v>1.2700000000000045E-2</v>
      </c>
      <c r="I14" s="61">
        <f t="shared" si="1"/>
        <v>114.3000000000004</v>
      </c>
      <c r="J14" s="26" t="s">
        <v>59</v>
      </c>
      <c r="K14" s="26" t="s">
        <v>59</v>
      </c>
      <c r="L14" s="26" t="s">
        <v>59</v>
      </c>
      <c r="M14" s="26">
        <v>110</v>
      </c>
      <c r="N14" s="26">
        <v>17</v>
      </c>
      <c r="O14" s="26" t="s">
        <v>106</v>
      </c>
      <c r="P14" s="26">
        <v>50</v>
      </c>
      <c r="Q14" s="64">
        <f t="shared" si="2"/>
        <v>20</v>
      </c>
      <c r="R14" s="39"/>
      <c r="S14" s="39"/>
      <c r="T14" s="39"/>
      <c r="U14" s="39">
        <f t="shared" si="11"/>
        <v>22000000</v>
      </c>
      <c r="V14" s="39">
        <f t="shared" si="6"/>
        <v>33999999.999999993</v>
      </c>
      <c r="W14" s="39"/>
      <c r="X14" s="80"/>
      <c r="Y14" s="81">
        <f t="shared" si="8"/>
        <v>27999999.999999996</v>
      </c>
    </row>
    <row r="15" spans="1:26" customFormat="1">
      <c r="A15" s="60" t="s">
        <v>83</v>
      </c>
      <c r="B15" s="61">
        <v>1</v>
      </c>
      <c r="C15" s="96">
        <v>43587</v>
      </c>
      <c r="D15" s="61" t="s">
        <v>126</v>
      </c>
      <c r="E15" s="61" t="s">
        <v>41</v>
      </c>
      <c r="F15" s="64">
        <f>'Tube wts'!F16</f>
        <v>0.98909999999999998</v>
      </c>
      <c r="G15" s="64">
        <f>'Tube wts'!G16</f>
        <v>1.0054000000000001</v>
      </c>
      <c r="H15" s="61">
        <f t="shared" si="5"/>
        <v>1.6300000000000092E-2</v>
      </c>
      <c r="I15" s="61">
        <f t="shared" si="1"/>
        <v>146.70000000000084</v>
      </c>
      <c r="J15" s="26" t="s">
        <v>59</v>
      </c>
      <c r="K15" s="26" t="s">
        <v>59</v>
      </c>
      <c r="L15" s="26" t="s">
        <v>59</v>
      </c>
      <c r="M15" s="26">
        <v>186</v>
      </c>
      <c r="N15" s="26">
        <v>25</v>
      </c>
      <c r="O15" s="26" t="s">
        <v>106</v>
      </c>
      <c r="P15" s="26">
        <v>50</v>
      </c>
      <c r="Q15" s="64">
        <f t="shared" si="2"/>
        <v>20</v>
      </c>
      <c r="R15" s="39"/>
      <c r="S15" s="39"/>
      <c r="T15" s="39"/>
      <c r="U15" s="39">
        <f t="shared" si="11"/>
        <v>37200000</v>
      </c>
      <c r="V15" s="39">
        <f t="shared" si="6"/>
        <v>49999999.999999993</v>
      </c>
      <c r="W15" s="39"/>
      <c r="X15" s="80"/>
      <c r="Y15" s="81">
        <f t="shared" si="8"/>
        <v>43600000</v>
      </c>
    </row>
    <row r="16" spans="1:26" customFormat="1">
      <c r="A16" s="72" t="s">
        <v>8</v>
      </c>
      <c r="B16" s="73">
        <v>1</v>
      </c>
      <c r="C16" s="74">
        <v>43587</v>
      </c>
      <c r="D16" s="75" t="s">
        <v>127</v>
      </c>
      <c r="E16" s="75" t="s">
        <v>40</v>
      </c>
      <c r="F16" s="64">
        <f>'Tube wts'!F17</f>
        <v>0.9879</v>
      </c>
      <c r="G16" s="64">
        <f>'Tube wts'!G17</f>
        <v>1.0246999999999999</v>
      </c>
      <c r="H16" s="73">
        <f t="shared" si="5"/>
        <v>3.6799999999999944E-2</v>
      </c>
      <c r="I16" s="73">
        <f t="shared" si="1"/>
        <v>331.19999999999948</v>
      </c>
      <c r="J16" s="76" t="s">
        <v>59</v>
      </c>
      <c r="K16" s="76" t="s">
        <v>59</v>
      </c>
      <c r="L16" s="76" t="s">
        <v>59</v>
      </c>
      <c r="M16" s="76">
        <v>93</v>
      </c>
      <c r="N16" s="76">
        <v>10</v>
      </c>
      <c r="O16" s="76" t="s">
        <v>106</v>
      </c>
      <c r="P16" s="76">
        <v>50</v>
      </c>
      <c r="Q16" s="77">
        <f t="shared" si="2"/>
        <v>20</v>
      </c>
      <c r="R16" s="78"/>
      <c r="S16" s="78"/>
      <c r="T16" s="78"/>
      <c r="U16" s="78">
        <f>Q16 * (1/10^-3)*(1/Z16) *M16</f>
        <v>31655380.434782606</v>
      </c>
      <c r="V16" s="78">
        <f>Q16 * (1/10^-4)*(1/Z16) *N16</f>
        <v>34038043.478260867</v>
      </c>
      <c r="W16" s="78"/>
      <c r="X16" s="82" t="s">
        <v>219</v>
      </c>
      <c r="Y16" s="83">
        <f t="shared" si="8"/>
        <v>32846711.956521735</v>
      </c>
      <c r="Z16">
        <f>H16/(H16+I17/1000)</f>
        <v>5.8757783809675883E-2</v>
      </c>
    </row>
    <row r="17" spans="1:26" customFormat="1" ht="17" thickBot="1">
      <c r="A17" s="84" t="s">
        <v>8</v>
      </c>
      <c r="B17" s="85">
        <v>1</v>
      </c>
      <c r="C17" s="86">
        <v>43587</v>
      </c>
      <c r="D17" s="87" t="s">
        <v>128</v>
      </c>
      <c r="E17" s="87" t="s">
        <v>41</v>
      </c>
      <c r="F17" s="64">
        <f>'Tube wts'!F18</f>
        <v>0.98170000000000002</v>
      </c>
      <c r="G17" s="64">
        <f>'Tube wts'!G18</f>
        <v>1.0471999999999999</v>
      </c>
      <c r="H17" s="85">
        <f t="shared" si="5"/>
        <v>6.5499999999999892E-2</v>
      </c>
      <c r="I17" s="85">
        <f t="shared" si="1"/>
        <v>589.49999999999898</v>
      </c>
      <c r="J17" s="89" t="s">
        <v>59</v>
      </c>
      <c r="K17" s="89" t="s">
        <v>59</v>
      </c>
      <c r="L17" s="89" t="s">
        <v>59</v>
      </c>
      <c r="M17" s="89" t="s">
        <v>59</v>
      </c>
      <c r="N17" s="89">
        <v>24</v>
      </c>
      <c r="O17" s="88" t="s">
        <v>106</v>
      </c>
      <c r="P17" s="88">
        <v>50</v>
      </c>
      <c r="Q17" s="90">
        <f t="shared" si="2"/>
        <v>20</v>
      </c>
      <c r="R17" s="91"/>
      <c r="S17" s="91"/>
      <c r="T17" s="91"/>
      <c r="U17" s="91"/>
      <c r="V17" s="91">
        <f>Q17 * (1/10^-4)*(1/Z17) *N17</f>
        <v>29071145.038167946</v>
      </c>
      <c r="W17" s="91"/>
      <c r="X17" s="92" t="s">
        <v>220</v>
      </c>
      <c r="Y17" s="93">
        <f t="shared" si="8"/>
        <v>29071145.038167946</v>
      </c>
      <c r="Z17">
        <f>H17/(H17+I16/1000)</f>
        <v>0.16511217544744136</v>
      </c>
    </row>
    <row r="18" spans="1:26" customFormat="1">
      <c r="A18" s="20" t="s">
        <v>74</v>
      </c>
      <c r="B18" s="63">
        <v>2</v>
      </c>
      <c r="C18" s="96">
        <v>43588</v>
      </c>
      <c r="D18" s="63" t="s">
        <v>121</v>
      </c>
      <c r="E18" s="63" t="s">
        <v>40</v>
      </c>
      <c r="F18" s="64">
        <f>'Tube wts'!F19</f>
        <v>0.98770000000000002</v>
      </c>
      <c r="G18" s="64">
        <f>'Tube wts'!G19</f>
        <v>1.0273000000000001</v>
      </c>
      <c r="H18" s="63">
        <f>G18-F18</f>
        <v>3.960000000000008E-2</v>
      </c>
      <c r="I18" s="63">
        <f>H18*9000</f>
        <v>356.40000000000072</v>
      </c>
      <c r="J18" s="63" t="s">
        <v>106</v>
      </c>
      <c r="K18" s="64" t="s">
        <v>106</v>
      </c>
      <c r="L18" s="64" t="s">
        <v>59</v>
      </c>
      <c r="M18" s="64" t="s">
        <v>59</v>
      </c>
      <c r="N18" s="64">
        <v>62</v>
      </c>
      <c r="O18" s="64">
        <v>15</v>
      </c>
      <c r="P18" s="64">
        <v>50</v>
      </c>
      <c r="Q18" s="64">
        <f>1/(P18/1000)</f>
        <v>20</v>
      </c>
      <c r="R18" s="39"/>
      <c r="S18" s="39"/>
      <c r="T18" s="39"/>
      <c r="U18" s="126"/>
      <c r="V18" s="126">
        <f>Q18 * (1/10^-5) *N18</f>
        <v>123999999.99999999</v>
      </c>
      <c r="W18" s="126">
        <f>Q18 * (1/10^-6) *O18</f>
        <v>300000000</v>
      </c>
      <c r="X18" s="97"/>
      <c r="Y18" s="98">
        <f>AVERAGE(R18:W18)</f>
        <v>212000000</v>
      </c>
    </row>
    <row r="19" spans="1:26" customFormat="1">
      <c r="A19" s="60" t="s">
        <v>74</v>
      </c>
      <c r="B19" s="61">
        <v>2</v>
      </c>
      <c r="C19" s="62">
        <v>43588</v>
      </c>
      <c r="D19" s="61" t="s">
        <v>122</v>
      </c>
      <c r="E19" s="61" t="s">
        <v>41</v>
      </c>
      <c r="F19" s="64">
        <f>'Tube wts'!F20</f>
        <v>0.98160000000000003</v>
      </c>
      <c r="G19" s="64" t="str">
        <f>'Tube wts'!G20</f>
        <v>NA</v>
      </c>
      <c r="H19" s="61" t="s">
        <v>70</v>
      </c>
      <c r="I19" s="61" t="s">
        <v>70</v>
      </c>
      <c r="J19" s="61" t="s">
        <v>70</v>
      </c>
      <c r="K19" s="61" t="s">
        <v>70</v>
      </c>
      <c r="L19" s="61" t="s">
        <v>70</v>
      </c>
      <c r="M19" s="61" t="s">
        <v>70</v>
      </c>
      <c r="N19" s="61" t="s">
        <v>70</v>
      </c>
      <c r="O19" s="61" t="s">
        <v>70</v>
      </c>
      <c r="P19" s="61" t="s">
        <v>70</v>
      </c>
      <c r="Q19" s="61" t="s">
        <v>70</v>
      </c>
      <c r="R19" s="61" t="s">
        <v>70</v>
      </c>
      <c r="S19" s="61" t="s">
        <v>70</v>
      </c>
      <c r="T19" s="61" t="s">
        <v>70</v>
      </c>
      <c r="U19" s="61" t="s">
        <v>70</v>
      </c>
      <c r="V19" s="61" t="s">
        <v>70</v>
      </c>
      <c r="W19" s="61" t="s">
        <v>70</v>
      </c>
      <c r="X19" s="61" t="s">
        <v>70</v>
      </c>
      <c r="Y19" s="61" t="s">
        <v>70</v>
      </c>
    </row>
    <row r="20" spans="1:26" customFormat="1">
      <c r="A20" s="72" t="s">
        <v>28</v>
      </c>
      <c r="B20" s="73">
        <v>2</v>
      </c>
      <c r="C20" s="74">
        <v>43588</v>
      </c>
      <c r="D20" s="75" t="s">
        <v>123</v>
      </c>
      <c r="E20" s="75" t="s">
        <v>40</v>
      </c>
      <c r="F20" s="64">
        <f>'Tube wts'!F21</f>
        <v>0.9516</v>
      </c>
      <c r="G20" s="64">
        <f>'Tube wts'!G21</f>
        <v>0.97750000000000004</v>
      </c>
      <c r="H20" s="73">
        <f t="shared" ref="H20:H25" si="12">G20-F20</f>
        <v>2.5900000000000034E-2</v>
      </c>
      <c r="I20" s="73">
        <f t="shared" si="1"/>
        <v>233.10000000000031</v>
      </c>
      <c r="J20" s="76">
        <v>1</v>
      </c>
      <c r="K20" s="76">
        <v>1</v>
      </c>
      <c r="L20" s="76">
        <v>0</v>
      </c>
      <c r="M20" s="76">
        <v>0</v>
      </c>
      <c r="N20" s="76">
        <v>0</v>
      </c>
      <c r="O20" s="76" t="s">
        <v>106</v>
      </c>
      <c r="P20" s="76">
        <v>50</v>
      </c>
      <c r="Q20" s="77">
        <f t="shared" si="2"/>
        <v>20</v>
      </c>
      <c r="R20" s="78">
        <f t="shared" ref="R20" si="13">Q20 * (1/10^-1) *J20</f>
        <v>200</v>
      </c>
      <c r="S20" s="78">
        <f t="shared" ref="S20:S21" si="14">Q20 * (1/10^-2) *K20</f>
        <v>2000</v>
      </c>
      <c r="T20" s="78">
        <f t="shared" si="10"/>
        <v>0</v>
      </c>
      <c r="U20" s="78">
        <f t="shared" ref="U20:U24" si="15">Q20 * (1/10^-4) *M20</f>
        <v>0</v>
      </c>
      <c r="V20" s="78">
        <f t="shared" ref="V20:V25" si="16">Q20 * (1/10^-5) *N20</f>
        <v>0</v>
      </c>
      <c r="W20" s="78"/>
      <c r="X20" s="82"/>
      <c r="Y20" s="83">
        <f>AVERAGE(R20:S20)</f>
        <v>1100</v>
      </c>
    </row>
    <row r="21" spans="1:26" customFormat="1">
      <c r="A21" s="72" t="s">
        <v>28</v>
      </c>
      <c r="B21" s="73">
        <v>2</v>
      </c>
      <c r="C21" s="74">
        <v>43588</v>
      </c>
      <c r="D21" s="75" t="s">
        <v>124</v>
      </c>
      <c r="E21" s="75" t="s">
        <v>41</v>
      </c>
      <c r="F21" s="64">
        <f>'Tube wts'!F22</f>
        <v>0.99209999999999998</v>
      </c>
      <c r="G21" s="64">
        <f>'Tube wts'!G22</f>
        <v>1.0375000000000001</v>
      </c>
      <c r="H21" s="73">
        <f t="shared" si="12"/>
        <v>4.5400000000000107E-2</v>
      </c>
      <c r="I21" s="73">
        <f t="shared" si="1"/>
        <v>408.60000000000099</v>
      </c>
      <c r="J21" s="76" t="s">
        <v>59</v>
      </c>
      <c r="K21" s="76">
        <v>96</v>
      </c>
      <c r="L21" s="76">
        <v>15</v>
      </c>
      <c r="M21" s="76">
        <v>1</v>
      </c>
      <c r="N21" s="76">
        <v>0</v>
      </c>
      <c r="O21" s="76" t="s">
        <v>106</v>
      </c>
      <c r="P21" s="76">
        <v>50</v>
      </c>
      <c r="Q21" s="77">
        <f t="shared" si="2"/>
        <v>20</v>
      </c>
      <c r="R21" s="78"/>
      <c r="S21" s="78">
        <f t="shared" si="14"/>
        <v>192000</v>
      </c>
      <c r="T21" s="78">
        <f t="shared" si="10"/>
        <v>300000</v>
      </c>
      <c r="U21" s="78">
        <f t="shared" si="15"/>
        <v>200000</v>
      </c>
      <c r="V21" s="78">
        <f t="shared" si="16"/>
        <v>0</v>
      </c>
      <c r="W21" s="78"/>
      <c r="X21" s="82"/>
      <c r="Y21" s="83">
        <f>AVERAGE(R21:U21)</f>
        <v>230666.66666666666</v>
      </c>
    </row>
    <row r="22" spans="1:26" customFormat="1">
      <c r="A22" s="60" t="s">
        <v>83</v>
      </c>
      <c r="B22" s="61">
        <v>2</v>
      </c>
      <c r="C22" s="62">
        <v>43588</v>
      </c>
      <c r="D22" s="61" t="s">
        <v>125</v>
      </c>
      <c r="E22" s="61" t="s">
        <v>40</v>
      </c>
      <c r="F22" s="64">
        <f>'Tube wts'!F23</f>
        <v>0.98360000000000003</v>
      </c>
      <c r="G22" s="64">
        <f>'Tube wts'!G23</f>
        <v>0.98819999999999997</v>
      </c>
      <c r="H22" s="61">
        <f t="shared" si="12"/>
        <v>4.5999999999999375E-3</v>
      </c>
      <c r="I22" s="61">
        <f t="shared" si="1"/>
        <v>41.399999999999437</v>
      </c>
      <c r="J22" s="26" t="s">
        <v>106</v>
      </c>
      <c r="K22" s="26" t="s">
        <v>106</v>
      </c>
      <c r="L22" s="26" t="s">
        <v>59</v>
      </c>
      <c r="M22" s="26">
        <v>220</v>
      </c>
      <c r="N22" s="26">
        <v>20</v>
      </c>
      <c r="O22" s="26">
        <v>6</v>
      </c>
      <c r="P22" s="26">
        <v>50</v>
      </c>
      <c r="Q22" s="64">
        <f t="shared" si="2"/>
        <v>20</v>
      </c>
      <c r="R22" s="39"/>
      <c r="S22" s="39"/>
      <c r="T22" s="39"/>
      <c r="U22" s="39">
        <f t="shared" si="15"/>
        <v>44000000</v>
      </c>
      <c r="V22" s="39">
        <f t="shared" si="16"/>
        <v>39999999.999999993</v>
      </c>
      <c r="W22" s="39">
        <f t="shared" ref="W22:W25" si="17">Q22 * (1/10^-6) *O22</f>
        <v>120000000</v>
      </c>
      <c r="X22" s="80"/>
      <c r="Y22" s="81">
        <f t="shared" ref="Y22:Y25" si="18">AVERAGE(R22:W22)</f>
        <v>68000000</v>
      </c>
    </row>
    <row r="23" spans="1:26" customFormat="1">
      <c r="A23" s="60" t="s">
        <v>83</v>
      </c>
      <c r="B23" s="61">
        <v>2</v>
      </c>
      <c r="C23" s="62">
        <v>43588</v>
      </c>
      <c r="D23" s="61" t="s">
        <v>126</v>
      </c>
      <c r="E23" s="61" t="s">
        <v>41</v>
      </c>
      <c r="F23" s="64">
        <f>'Tube wts'!F24</f>
        <v>0.9899</v>
      </c>
      <c r="G23" s="64">
        <f>'Tube wts'!G24</f>
        <v>1.0008999999999999</v>
      </c>
      <c r="H23" s="61">
        <f t="shared" si="12"/>
        <v>1.0999999999999899E-2</v>
      </c>
      <c r="I23" s="61">
        <f t="shared" si="1"/>
        <v>98.999999999999091</v>
      </c>
      <c r="J23" s="26" t="s">
        <v>106</v>
      </c>
      <c r="K23" s="26" t="s">
        <v>106</v>
      </c>
      <c r="L23" s="26" t="s">
        <v>59</v>
      </c>
      <c r="M23" s="26" t="s">
        <v>59</v>
      </c>
      <c r="N23" s="26">
        <v>29</v>
      </c>
      <c r="O23" s="26">
        <v>4</v>
      </c>
      <c r="P23" s="26">
        <v>50</v>
      </c>
      <c r="Q23" s="64">
        <f t="shared" si="2"/>
        <v>20</v>
      </c>
      <c r="R23" s="39"/>
      <c r="S23" s="39"/>
      <c r="T23" s="39"/>
      <c r="U23" s="39"/>
      <c r="V23" s="39">
        <f t="shared" si="16"/>
        <v>57999999.999999993</v>
      </c>
      <c r="W23" s="39">
        <f t="shared" si="17"/>
        <v>80000000</v>
      </c>
      <c r="X23" s="80"/>
      <c r="Y23" s="81">
        <f t="shared" si="18"/>
        <v>69000000</v>
      </c>
    </row>
    <row r="24" spans="1:26" customFormat="1">
      <c r="A24" s="72" t="s">
        <v>8</v>
      </c>
      <c r="B24" s="73">
        <v>2</v>
      </c>
      <c r="C24" s="74">
        <v>43588</v>
      </c>
      <c r="D24" s="75" t="s">
        <v>127</v>
      </c>
      <c r="E24" s="75" t="s">
        <v>40</v>
      </c>
      <c r="F24" s="64">
        <f>'Tube wts'!F25</f>
        <v>0.98260000000000003</v>
      </c>
      <c r="G24" s="64">
        <f>'Tube wts'!G25</f>
        <v>1.0089999999999999</v>
      </c>
      <c r="H24" s="73">
        <f t="shared" si="12"/>
        <v>2.6399999999999868E-2</v>
      </c>
      <c r="I24" s="73">
        <f t="shared" si="1"/>
        <v>237.5999999999988</v>
      </c>
      <c r="J24" s="76" t="s">
        <v>106</v>
      </c>
      <c r="K24" s="76" t="s">
        <v>106</v>
      </c>
      <c r="L24" s="76" t="s">
        <v>59</v>
      </c>
      <c r="M24" s="76">
        <v>106</v>
      </c>
      <c r="N24" s="76">
        <v>15</v>
      </c>
      <c r="O24" s="76">
        <v>2</v>
      </c>
      <c r="P24" s="76">
        <v>50</v>
      </c>
      <c r="Q24" s="77">
        <f t="shared" si="2"/>
        <v>20</v>
      </c>
      <c r="R24" s="78"/>
      <c r="S24" s="78"/>
      <c r="T24" s="78"/>
      <c r="U24" s="78">
        <f t="shared" si="15"/>
        <v>21200000</v>
      </c>
      <c r="V24" s="78">
        <f t="shared" si="16"/>
        <v>29999999.999999996</v>
      </c>
      <c r="W24" s="78">
        <f t="shared" si="17"/>
        <v>40000000</v>
      </c>
      <c r="X24" s="82"/>
      <c r="Y24" s="83">
        <f t="shared" si="18"/>
        <v>30400000</v>
      </c>
    </row>
    <row r="25" spans="1:26" customFormat="1" ht="17" thickBot="1">
      <c r="A25" s="84" t="s">
        <v>8</v>
      </c>
      <c r="B25" s="85">
        <v>2</v>
      </c>
      <c r="C25" s="106">
        <v>43588</v>
      </c>
      <c r="D25" s="87" t="s">
        <v>128</v>
      </c>
      <c r="E25" s="87" t="s">
        <v>41</v>
      </c>
      <c r="F25" s="64">
        <f>'Tube wts'!F26</f>
        <v>0.98080000000000001</v>
      </c>
      <c r="G25" s="64">
        <f>'Tube wts'!G26</f>
        <v>0.99850000000000005</v>
      </c>
      <c r="H25" s="85">
        <f t="shared" si="12"/>
        <v>1.7700000000000049E-2</v>
      </c>
      <c r="I25" s="85">
        <f t="shared" si="1"/>
        <v>159.30000000000044</v>
      </c>
      <c r="J25" s="89" t="s">
        <v>106</v>
      </c>
      <c r="K25" s="89" t="s">
        <v>106</v>
      </c>
      <c r="L25" s="89" t="s">
        <v>59</v>
      </c>
      <c r="M25" s="89" t="s">
        <v>59</v>
      </c>
      <c r="N25" s="89">
        <v>98</v>
      </c>
      <c r="O25" s="88">
        <v>8</v>
      </c>
      <c r="P25" s="88">
        <v>50</v>
      </c>
      <c r="Q25" s="90">
        <f t="shared" si="2"/>
        <v>20</v>
      </c>
      <c r="R25" s="91"/>
      <c r="S25" s="91"/>
      <c r="T25" s="91"/>
      <c r="U25" s="91"/>
      <c r="V25" s="91">
        <f t="shared" si="16"/>
        <v>195999999.99999997</v>
      </c>
      <c r="W25" s="91">
        <f t="shared" si="17"/>
        <v>160000000</v>
      </c>
      <c r="X25" s="92"/>
      <c r="Y25" s="93">
        <f t="shared" si="18"/>
        <v>178000000</v>
      </c>
    </row>
    <row r="26" spans="1:26" customFormat="1">
      <c r="A26" s="20" t="s">
        <v>74</v>
      </c>
      <c r="B26" s="63">
        <v>3</v>
      </c>
      <c r="C26" s="62">
        <v>43589</v>
      </c>
      <c r="D26" s="63" t="s">
        <v>121</v>
      </c>
      <c r="E26" s="63" t="s">
        <v>40</v>
      </c>
      <c r="F26" s="64">
        <f>'Tube wts'!F27</f>
        <v>0.98970000000000002</v>
      </c>
      <c r="G26" s="64">
        <f>'Tube wts'!G27</f>
        <v>1.0341</v>
      </c>
      <c r="H26" s="63">
        <f>G26-F26</f>
        <v>4.4399999999999995E-2</v>
      </c>
      <c r="I26" s="63">
        <f>H26*9000</f>
        <v>399.59999999999997</v>
      </c>
      <c r="J26" s="63" t="s">
        <v>106</v>
      </c>
      <c r="K26" s="64" t="s">
        <v>106</v>
      </c>
      <c r="L26" s="64" t="s">
        <v>59</v>
      </c>
      <c r="M26" s="64">
        <v>27</v>
      </c>
      <c r="N26" s="64">
        <v>31</v>
      </c>
      <c r="O26" s="64">
        <v>5</v>
      </c>
      <c r="P26" s="64">
        <v>50</v>
      </c>
      <c r="Q26" s="64">
        <f>1/(P26/1000)</f>
        <v>20</v>
      </c>
      <c r="R26" s="39"/>
      <c r="S26" s="39"/>
      <c r="T26" s="39"/>
      <c r="U26" s="39">
        <f>Q26 * (1/10^-4) *M26</f>
        <v>5400000</v>
      </c>
      <c r="V26" s="39">
        <f>Q26 * (1/10^-5) *N26</f>
        <v>61999999.999999993</v>
      </c>
      <c r="W26" s="39">
        <f>Q26 * (1/10^-6) *O26</f>
        <v>100000000</v>
      </c>
      <c r="X26" s="80" t="s">
        <v>218</v>
      </c>
      <c r="Y26" s="98">
        <f>AVERAGE(R26:W26)</f>
        <v>55800000</v>
      </c>
    </row>
    <row r="27" spans="1:26" customFormat="1">
      <c r="A27" s="60" t="s">
        <v>74</v>
      </c>
      <c r="B27" s="61">
        <v>3</v>
      </c>
      <c r="C27" s="62">
        <v>43589</v>
      </c>
      <c r="D27" s="61" t="s">
        <v>122</v>
      </c>
      <c r="E27" s="61" t="s">
        <v>41</v>
      </c>
      <c r="F27" s="64">
        <f>'Tube wts'!F28</f>
        <v>0.98799999999999999</v>
      </c>
      <c r="G27" s="64">
        <f>'Tube wts'!G28</f>
        <v>1.0121</v>
      </c>
      <c r="H27" s="61">
        <f t="shared" ref="H27:H33" si="19">G27-F27</f>
        <v>2.410000000000001E-2</v>
      </c>
      <c r="I27" s="61">
        <f t="shared" si="1"/>
        <v>216.90000000000009</v>
      </c>
      <c r="J27" s="26" t="s">
        <v>106</v>
      </c>
      <c r="K27" s="26" t="s">
        <v>106</v>
      </c>
      <c r="L27" s="26" t="s">
        <v>59</v>
      </c>
      <c r="M27" s="26" t="s">
        <v>59</v>
      </c>
      <c r="N27" s="26">
        <v>78</v>
      </c>
      <c r="O27" s="26">
        <v>10</v>
      </c>
      <c r="P27" s="26">
        <v>50</v>
      </c>
      <c r="Q27" s="64">
        <f t="shared" si="2"/>
        <v>20</v>
      </c>
      <c r="R27" s="39"/>
      <c r="S27" s="39"/>
      <c r="T27" s="39"/>
      <c r="U27" s="39"/>
      <c r="V27" s="39">
        <f t="shared" ref="V27:V33" si="20">Q27 * (1/10^-5) *N27</f>
        <v>155999999.99999997</v>
      </c>
      <c r="W27" s="39">
        <f t="shared" ref="W27:W33" si="21">Q27 * (1/10^-6) *O27</f>
        <v>200000000</v>
      </c>
      <c r="X27" s="80" t="s">
        <v>218</v>
      </c>
      <c r="Y27" s="81">
        <f t="shared" ref="Y27:Y33" si="22">AVERAGE(R27:W27)</f>
        <v>178000000</v>
      </c>
    </row>
    <row r="28" spans="1:26" customFormat="1">
      <c r="A28" s="72" t="s">
        <v>28</v>
      </c>
      <c r="B28" s="73">
        <v>3</v>
      </c>
      <c r="C28" s="74">
        <v>43589</v>
      </c>
      <c r="D28" s="75" t="s">
        <v>123</v>
      </c>
      <c r="E28" s="75" t="s">
        <v>40</v>
      </c>
      <c r="F28" s="64">
        <f>'Tube wts'!F29</f>
        <v>0.98380000000000001</v>
      </c>
      <c r="G28" s="64">
        <f>'Tube wts'!G29</f>
        <v>1.0028999999999999</v>
      </c>
      <c r="H28" s="73">
        <f t="shared" si="19"/>
        <v>1.9099999999999895E-2</v>
      </c>
      <c r="I28" s="73">
        <f t="shared" si="1"/>
        <v>171.89999999999907</v>
      </c>
      <c r="J28" s="76">
        <v>2</v>
      </c>
      <c r="K28" s="76">
        <v>0</v>
      </c>
      <c r="L28" s="76">
        <v>0</v>
      </c>
      <c r="M28" s="76">
        <v>0</v>
      </c>
      <c r="N28" s="76" t="s">
        <v>106</v>
      </c>
      <c r="O28" s="76" t="s">
        <v>106</v>
      </c>
      <c r="P28" s="76">
        <v>50</v>
      </c>
      <c r="Q28" s="77">
        <f t="shared" si="2"/>
        <v>20</v>
      </c>
      <c r="R28" s="78">
        <f t="shared" ref="R28:R29" si="23">Q28 * (1/10^-1) *J28</f>
        <v>400</v>
      </c>
      <c r="S28" s="78">
        <f t="shared" ref="S28:S29" si="24">Q28 * (1/10^-2) *K28</f>
        <v>0</v>
      </c>
      <c r="T28" s="78">
        <f t="shared" si="10"/>
        <v>0</v>
      </c>
      <c r="U28" s="78">
        <f t="shared" ref="U28:U33" si="25">Q28 * (1/10^-4) *M28</f>
        <v>0</v>
      </c>
      <c r="V28" s="78"/>
      <c r="W28" s="78"/>
      <c r="X28" s="80" t="s">
        <v>218</v>
      </c>
      <c r="Y28" s="83">
        <f>AVERAGE(R28)</f>
        <v>400</v>
      </c>
    </row>
    <row r="29" spans="1:26" customFormat="1">
      <c r="A29" s="72" t="s">
        <v>28</v>
      </c>
      <c r="B29" s="73">
        <v>3</v>
      </c>
      <c r="C29" s="74">
        <v>43589</v>
      </c>
      <c r="D29" s="75" t="s">
        <v>124</v>
      </c>
      <c r="E29" s="75" t="s">
        <v>41</v>
      </c>
      <c r="F29" s="64">
        <f>'Tube wts'!F30</f>
        <v>0.9849</v>
      </c>
      <c r="G29" s="64">
        <f>'Tube wts'!G30</f>
        <v>1.0138</v>
      </c>
      <c r="H29" s="73">
        <f t="shared" si="19"/>
        <v>2.8900000000000037E-2</v>
      </c>
      <c r="I29" s="73">
        <f t="shared" si="1"/>
        <v>260.10000000000031</v>
      </c>
      <c r="J29" s="76">
        <v>70</v>
      </c>
      <c r="K29" s="76">
        <v>6</v>
      </c>
      <c r="L29" s="76">
        <v>1</v>
      </c>
      <c r="M29" s="76">
        <v>0</v>
      </c>
      <c r="N29" s="76" t="s">
        <v>106</v>
      </c>
      <c r="O29" s="76" t="s">
        <v>106</v>
      </c>
      <c r="P29" s="76">
        <v>50</v>
      </c>
      <c r="Q29" s="77">
        <f t="shared" si="2"/>
        <v>20</v>
      </c>
      <c r="R29" s="78">
        <f t="shared" si="23"/>
        <v>14000</v>
      </c>
      <c r="S29" s="78">
        <f t="shared" si="24"/>
        <v>12000</v>
      </c>
      <c r="T29" s="78">
        <f t="shared" si="10"/>
        <v>20000</v>
      </c>
      <c r="U29" s="78">
        <f t="shared" si="25"/>
        <v>0</v>
      </c>
      <c r="V29" s="78"/>
      <c r="W29" s="78"/>
      <c r="X29" s="80" t="s">
        <v>218</v>
      </c>
      <c r="Y29" s="83">
        <f>AVERAGE(R29:T29)</f>
        <v>15333.333333333334</v>
      </c>
    </row>
    <row r="30" spans="1:26" customFormat="1">
      <c r="A30" s="60" t="s">
        <v>83</v>
      </c>
      <c r="B30" s="61">
        <v>3</v>
      </c>
      <c r="C30" s="62">
        <v>43589</v>
      </c>
      <c r="D30" s="61" t="s">
        <v>125</v>
      </c>
      <c r="E30" s="61" t="s">
        <v>40</v>
      </c>
      <c r="F30" s="64">
        <f>'Tube wts'!F31</f>
        <v>0.98619999999999997</v>
      </c>
      <c r="G30" s="64">
        <f>'Tube wts'!G31</f>
        <v>1.0001</v>
      </c>
      <c r="H30" s="61">
        <f t="shared" si="19"/>
        <v>1.3900000000000023E-2</v>
      </c>
      <c r="I30" s="61">
        <f t="shared" si="1"/>
        <v>125.10000000000021</v>
      </c>
      <c r="J30" s="26" t="s">
        <v>106</v>
      </c>
      <c r="K30" s="26" t="s">
        <v>106</v>
      </c>
      <c r="L30" s="26">
        <v>180</v>
      </c>
      <c r="M30" s="26">
        <v>14</v>
      </c>
      <c r="N30" s="26">
        <v>6</v>
      </c>
      <c r="O30" s="26">
        <v>1</v>
      </c>
      <c r="P30" s="26">
        <v>50</v>
      </c>
      <c r="Q30" s="64">
        <f t="shared" si="2"/>
        <v>20</v>
      </c>
      <c r="R30" s="39"/>
      <c r="S30" s="39"/>
      <c r="T30" s="39">
        <f t="shared" si="10"/>
        <v>3600000</v>
      </c>
      <c r="U30" s="39">
        <f t="shared" si="25"/>
        <v>2800000</v>
      </c>
      <c r="V30" s="39">
        <f t="shared" si="20"/>
        <v>11999999.999999998</v>
      </c>
      <c r="W30" s="39">
        <f t="shared" si="21"/>
        <v>20000000</v>
      </c>
      <c r="X30" s="80" t="s">
        <v>218</v>
      </c>
      <c r="Y30" s="81">
        <f t="shared" si="22"/>
        <v>9600000</v>
      </c>
    </row>
    <row r="31" spans="1:26" customFormat="1">
      <c r="A31" s="60" t="s">
        <v>83</v>
      </c>
      <c r="B31" s="61">
        <v>3</v>
      </c>
      <c r="C31" s="62">
        <v>43589</v>
      </c>
      <c r="D31" s="61" t="s">
        <v>126</v>
      </c>
      <c r="E31" s="61" t="s">
        <v>41</v>
      </c>
      <c r="F31" s="64">
        <f>'Tube wts'!F32</f>
        <v>0.97250000000000003</v>
      </c>
      <c r="G31" s="64">
        <f>'Tube wts'!G32</f>
        <v>0.98770000000000002</v>
      </c>
      <c r="H31" s="61">
        <f t="shared" si="19"/>
        <v>1.5199999999999991E-2</v>
      </c>
      <c r="I31" s="61">
        <f t="shared" si="1"/>
        <v>136.79999999999993</v>
      </c>
      <c r="J31" s="26" t="s">
        <v>106</v>
      </c>
      <c r="K31" s="26" t="s">
        <v>106</v>
      </c>
      <c r="L31" s="26">
        <v>4</v>
      </c>
      <c r="M31" s="26">
        <v>1</v>
      </c>
      <c r="N31" s="26">
        <v>4</v>
      </c>
      <c r="O31" s="26">
        <v>0</v>
      </c>
      <c r="P31" s="26">
        <v>50</v>
      </c>
      <c r="Q31" s="64">
        <f t="shared" si="2"/>
        <v>20</v>
      </c>
      <c r="R31" s="39"/>
      <c r="S31" s="39"/>
      <c r="T31" s="39">
        <f t="shared" si="10"/>
        <v>80000</v>
      </c>
      <c r="U31" s="39">
        <f t="shared" si="25"/>
        <v>200000</v>
      </c>
      <c r="V31" s="39">
        <f t="shared" si="20"/>
        <v>7999999.9999999991</v>
      </c>
      <c r="W31" s="39">
        <f t="shared" si="21"/>
        <v>0</v>
      </c>
      <c r="X31" s="80" t="s">
        <v>218</v>
      </c>
      <c r="Y31" s="81">
        <f t="shared" si="22"/>
        <v>2069999.9999999998</v>
      </c>
    </row>
    <row r="32" spans="1:26" customFormat="1">
      <c r="A32" s="72" t="s">
        <v>8</v>
      </c>
      <c r="B32" s="73">
        <v>3</v>
      </c>
      <c r="C32" s="74">
        <v>43589</v>
      </c>
      <c r="D32" s="75" t="s">
        <v>127</v>
      </c>
      <c r="E32" s="75" t="s">
        <v>40</v>
      </c>
      <c r="F32" s="64">
        <f>'Tube wts'!F33</f>
        <v>0.98099999999999998</v>
      </c>
      <c r="G32" s="64">
        <f>'Tube wts'!G33</f>
        <v>0.99380000000000002</v>
      </c>
      <c r="H32" s="73">
        <f t="shared" si="19"/>
        <v>1.2800000000000034E-2</v>
      </c>
      <c r="I32" s="73">
        <f t="shared" si="1"/>
        <v>115.2000000000003</v>
      </c>
      <c r="J32" s="76" t="s">
        <v>106</v>
      </c>
      <c r="K32" s="76" t="s">
        <v>106</v>
      </c>
      <c r="L32" s="76">
        <v>48</v>
      </c>
      <c r="M32" s="76">
        <v>6</v>
      </c>
      <c r="N32" s="76">
        <v>0</v>
      </c>
      <c r="O32" s="76">
        <v>1</v>
      </c>
      <c r="P32" s="76">
        <v>50</v>
      </c>
      <c r="Q32" s="77">
        <f t="shared" si="2"/>
        <v>20</v>
      </c>
      <c r="R32" s="78"/>
      <c r="S32" s="78"/>
      <c r="T32" s="78">
        <f t="shared" si="10"/>
        <v>960000</v>
      </c>
      <c r="U32" s="78">
        <f t="shared" si="25"/>
        <v>1200000</v>
      </c>
      <c r="V32" s="78">
        <f t="shared" si="20"/>
        <v>0</v>
      </c>
      <c r="W32" s="78">
        <f t="shared" si="21"/>
        <v>20000000</v>
      </c>
      <c r="X32" s="80" t="s">
        <v>218</v>
      </c>
      <c r="Y32" s="83">
        <f t="shared" si="22"/>
        <v>5540000</v>
      </c>
    </row>
    <row r="33" spans="1:25" customFormat="1" ht="17" thickBot="1">
      <c r="A33" s="84" t="s">
        <v>8</v>
      </c>
      <c r="B33" s="85">
        <v>3</v>
      </c>
      <c r="C33" s="86">
        <v>43589</v>
      </c>
      <c r="D33" s="87" t="s">
        <v>128</v>
      </c>
      <c r="E33" s="87" t="s">
        <v>41</v>
      </c>
      <c r="F33" s="64">
        <f>'Tube wts'!F34</f>
        <v>0.97860000000000003</v>
      </c>
      <c r="G33" s="64">
        <f>'Tube wts'!G34</f>
        <v>1.0004999999999999</v>
      </c>
      <c r="H33" s="85">
        <f t="shared" si="19"/>
        <v>2.189999999999992E-2</v>
      </c>
      <c r="I33" s="85">
        <f t="shared" si="1"/>
        <v>197.09999999999928</v>
      </c>
      <c r="J33" s="89" t="s">
        <v>106</v>
      </c>
      <c r="K33" s="89" t="s">
        <v>106</v>
      </c>
      <c r="L33" s="89">
        <v>191</v>
      </c>
      <c r="M33" s="89">
        <v>22</v>
      </c>
      <c r="N33" s="89">
        <v>5</v>
      </c>
      <c r="O33" s="88">
        <v>1</v>
      </c>
      <c r="P33" s="88">
        <v>50</v>
      </c>
      <c r="Q33" s="90">
        <f t="shared" si="2"/>
        <v>20</v>
      </c>
      <c r="R33" s="91"/>
      <c r="S33" s="91"/>
      <c r="T33" s="91">
        <f t="shared" si="10"/>
        <v>3820000</v>
      </c>
      <c r="U33" s="91">
        <f t="shared" si="25"/>
        <v>4400000</v>
      </c>
      <c r="V33" s="91">
        <f t="shared" si="20"/>
        <v>9999999.9999999981</v>
      </c>
      <c r="W33" s="91">
        <f t="shared" si="21"/>
        <v>20000000</v>
      </c>
      <c r="X33" s="80" t="s">
        <v>218</v>
      </c>
      <c r="Y33" s="93">
        <f t="shared" si="22"/>
        <v>9555000</v>
      </c>
    </row>
    <row r="34" spans="1:25" customFormat="1">
      <c r="A34" s="20" t="s">
        <v>74</v>
      </c>
      <c r="B34" s="63">
        <v>4</v>
      </c>
      <c r="C34" s="96">
        <v>43590</v>
      </c>
      <c r="D34" s="63" t="s">
        <v>121</v>
      </c>
      <c r="E34" s="63" t="s">
        <v>40</v>
      </c>
      <c r="F34" s="64">
        <f>'Tube wts'!F35</f>
        <v>0.9919</v>
      </c>
      <c r="G34" s="64">
        <f>'Tube wts'!G35</f>
        <v>1.0253000000000001</v>
      </c>
      <c r="H34" s="63">
        <f>G34-F34</f>
        <v>3.3400000000000096E-2</v>
      </c>
      <c r="I34" s="63">
        <f>H34*9000</f>
        <v>300.60000000000088</v>
      </c>
      <c r="J34" s="63" t="s">
        <v>106</v>
      </c>
      <c r="K34" s="64" t="s">
        <v>106</v>
      </c>
      <c r="L34" s="64" t="s">
        <v>59</v>
      </c>
      <c r="M34" s="64" t="s">
        <v>59</v>
      </c>
      <c r="N34" s="64">
        <v>68</v>
      </c>
      <c r="O34" s="64">
        <v>4</v>
      </c>
      <c r="P34" s="64">
        <v>50</v>
      </c>
      <c r="Q34" s="64">
        <f>1/(P34/1000)</f>
        <v>20</v>
      </c>
      <c r="R34" s="39"/>
      <c r="S34" s="39"/>
      <c r="T34" s="39"/>
      <c r="U34" s="39"/>
      <c r="V34" s="39">
        <f>Q34 * (1/10^-5) *N34</f>
        <v>135999999.99999997</v>
      </c>
      <c r="W34" s="39">
        <f>Q34 * (1/10^-6) *O34</f>
        <v>80000000</v>
      </c>
      <c r="X34" s="97"/>
      <c r="Y34" s="98">
        <f>AVERAGE(R34:W34)</f>
        <v>107999999.99999999</v>
      </c>
    </row>
    <row r="35" spans="1:25" customFormat="1">
      <c r="A35" s="60" t="s">
        <v>74</v>
      </c>
      <c r="B35" s="61">
        <v>4</v>
      </c>
      <c r="C35" s="62">
        <v>43590</v>
      </c>
      <c r="D35" s="61" t="s">
        <v>122</v>
      </c>
      <c r="E35" s="61" t="s">
        <v>41</v>
      </c>
      <c r="F35" s="64">
        <f>'Tube wts'!F36</f>
        <v>0.99219999999999997</v>
      </c>
      <c r="G35" s="64">
        <f>'Tube wts'!G36</f>
        <v>1.0288999999999999</v>
      </c>
      <c r="H35" s="61">
        <f t="shared" ref="H35:H41" si="26">G35-F35</f>
        <v>3.6699999999999955E-2</v>
      </c>
      <c r="I35" s="61">
        <f t="shared" si="1"/>
        <v>330.29999999999961</v>
      </c>
      <c r="J35" s="26" t="s">
        <v>106</v>
      </c>
      <c r="K35" s="26" t="s">
        <v>106</v>
      </c>
      <c r="L35" s="26" t="s">
        <v>59</v>
      </c>
      <c r="M35" s="26">
        <v>166</v>
      </c>
      <c r="N35" s="26">
        <v>24</v>
      </c>
      <c r="O35" s="26">
        <v>0</v>
      </c>
      <c r="P35" s="26">
        <v>50</v>
      </c>
      <c r="Q35" s="64">
        <f t="shared" si="2"/>
        <v>20</v>
      </c>
      <c r="R35" s="39"/>
      <c r="S35" s="39"/>
      <c r="T35" s="39"/>
      <c r="U35" s="39">
        <f t="shared" ref="U35:U41" si="27">Q35 * (1/10^-4) *M35</f>
        <v>33200000</v>
      </c>
      <c r="V35" s="39">
        <f t="shared" ref="V35:V41" si="28">Q35 * (1/10^-5) *N35</f>
        <v>47999999.999999993</v>
      </c>
      <c r="W35" s="39">
        <f t="shared" ref="W35" si="29">Q35 * (1/10^-6) *O35</f>
        <v>0</v>
      </c>
      <c r="X35" s="80"/>
      <c r="Y35" s="81">
        <f t="shared" ref="Y35:Y41" si="30">AVERAGE(R35:W35)</f>
        <v>27066666.666666668</v>
      </c>
    </row>
    <row r="36" spans="1:25" customFormat="1">
      <c r="A36" s="72" t="s">
        <v>28</v>
      </c>
      <c r="B36" s="73">
        <v>4</v>
      </c>
      <c r="C36" s="74">
        <v>43590</v>
      </c>
      <c r="D36" s="75" t="s">
        <v>123</v>
      </c>
      <c r="E36" s="75" t="s">
        <v>40</v>
      </c>
      <c r="F36" s="64">
        <f>'Tube wts'!F37</f>
        <v>0.98109999999999997</v>
      </c>
      <c r="G36" s="64">
        <f>'Tube wts'!G37</f>
        <v>0.99409999999999998</v>
      </c>
      <c r="H36" s="73">
        <f t="shared" si="26"/>
        <v>1.3000000000000012E-2</v>
      </c>
      <c r="I36" s="73">
        <f t="shared" si="1"/>
        <v>117.0000000000001</v>
      </c>
      <c r="J36" s="76">
        <v>0</v>
      </c>
      <c r="K36" s="76">
        <v>0</v>
      </c>
      <c r="L36" s="76">
        <v>0</v>
      </c>
      <c r="M36" s="76">
        <v>0</v>
      </c>
      <c r="N36" s="76" t="s">
        <v>106</v>
      </c>
      <c r="O36" s="76" t="s">
        <v>106</v>
      </c>
      <c r="P36" s="76">
        <v>50</v>
      </c>
      <c r="Q36" s="77">
        <f t="shared" si="2"/>
        <v>20</v>
      </c>
      <c r="R36" s="78">
        <f t="shared" ref="R36:R37" si="31">Q36 * (1/10^-1) *J36</f>
        <v>0</v>
      </c>
      <c r="S36" s="78">
        <f t="shared" ref="S36:S39" si="32">Q36 * (1/10^-2) *K36</f>
        <v>0</v>
      </c>
      <c r="T36" s="78">
        <f t="shared" si="10"/>
        <v>0</v>
      </c>
      <c r="U36" s="78">
        <f t="shared" si="27"/>
        <v>0</v>
      </c>
      <c r="V36" s="78"/>
      <c r="W36" s="78"/>
      <c r="X36" s="82"/>
      <c r="Y36" s="83">
        <f t="shared" si="30"/>
        <v>0</v>
      </c>
    </row>
    <row r="37" spans="1:25" customFormat="1">
      <c r="A37" s="72" t="s">
        <v>28</v>
      </c>
      <c r="B37" s="73">
        <v>4</v>
      </c>
      <c r="C37" s="74">
        <v>43590</v>
      </c>
      <c r="D37" s="75" t="s">
        <v>124</v>
      </c>
      <c r="E37" s="75" t="s">
        <v>41</v>
      </c>
      <c r="F37" s="64">
        <f>'Tube wts'!F38</f>
        <v>0.98950000000000005</v>
      </c>
      <c r="G37" s="64">
        <f>'Tube wts'!G38</f>
        <v>1.0310999999999999</v>
      </c>
      <c r="H37" s="73">
        <f t="shared" si="26"/>
        <v>4.1599999999999859E-2</v>
      </c>
      <c r="I37" s="73">
        <f t="shared" si="1"/>
        <v>374.39999999999873</v>
      </c>
      <c r="J37" s="76">
        <v>0</v>
      </c>
      <c r="K37" s="76">
        <v>0</v>
      </c>
      <c r="L37" s="76">
        <v>0</v>
      </c>
      <c r="M37" s="76">
        <v>0</v>
      </c>
      <c r="N37" s="76" t="s">
        <v>106</v>
      </c>
      <c r="O37" s="76" t="s">
        <v>106</v>
      </c>
      <c r="P37" s="76">
        <v>50</v>
      </c>
      <c r="Q37" s="77">
        <f t="shared" si="2"/>
        <v>20</v>
      </c>
      <c r="R37" s="78">
        <f t="shared" si="31"/>
        <v>0</v>
      </c>
      <c r="S37" s="78">
        <f t="shared" si="32"/>
        <v>0</v>
      </c>
      <c r="T37" s="78">
        <f t="shared" si="10"/>
        <v>0</v>
      </c>
      <c r="U37" s="78">
        <f t="shared" si="27"/>
        <v>0</v>
      </c>
      <c r="V37" s="78"/>
      <c r="W37" s="78"/>
      <c r="X37" s="82"/>
      <c r="Y37" s="83">
        <f t="shared" si="30"/>
        <v>0</v>
      </c>
    </row>
    <row r="38" spans="1:25" customFormat="1">
      <c r="A38" s="60" t="s">
        <v>83</v>
      </c>
      <c r="B38" s="61">
        <v>4</v>
      </c>
      <c r="C38" s="62">
        <v>43590</v>
      </c>
      <c r="D38" s="61" t="s">
        <v>125</v>
      </c>
      <c r="E38" s="61" t="s">
        <v>40</v>
      </c>
      <c r="F38" s="64">
        <f>'Tube wts'!F39</f>
        <v>0.98450000000000004</v>
      </c>
      <c r="G38" s="64">
        <f>'Tube wts'!G39</f>
        <v>1.0121</v>
      </c>
      <c r="H38" s="61">
        <f t="shared" si="26"/>
        <v>2.7599999999999958E-2</v>
      </c>
      <c r="I38" s="61">
        <f t="shared" si="1"/>
        <v>248.39999999999961</v>
      </c>
      <c r="J38" s="26" t="s">
        <v>106</v>
      </c>
      <c r="K38" s="26">
        <v>31</v>
      </c>
      <c r="L38" s="26">
        <v>4</v>
      </c>
      <c r="M38" s="26">
        <v>0</v>
      </c>
      <c r="N38" s="26">
        <v>0</v>
      </c>
      <c r="O38" s="26" t="s">
        <v>106</v>
      </c>
      <c r="P38" s="26">
        <v>50</v>
      </c>
      <c r="Q38" s="64">
        <f t="shared" si="2"/>
        <v>20</v>
      </c>
      <c r="R38" s="39"/>
      <c r="S38" s="39">
        <f t="shared" si="32"/>
        <v>62000</v>
      </c>
      <c r="T38" s="39">
        <f t="shared" si="10"/>
        <v>80000</v>
      </c>
      <c r="U38" s="39">
        <f t="shared" si="27"/>
        <v>0</v>
      </c>
      <c r="V38" s="39">
        <f t="shared" si="28"/>
        <v>0</v>
      </c>
      <c r="W38" s="39"/>
      <c r="X38" s="80"/>
      <c r="Y38" s="81">
        <f t="shared" si="30"/>
        <v>35500</v>
      </c>
    </row>
    <row r="39" spans="1:25" customFormat="1">
      <c r="A39" s="60" t="s">
        <v>83</v>
      </c>
      <c r="B39" s="61">
        <v>4</v>
      </c>
      <c r="C39" s="62">
        <v>43590</v>
      </c>
      <c r="D39" s="61" t="s">
        <v>126</v>
      </c>
      <c r="E39" s="61" t="s">
        <v>41</v>
      </c>
      <c r="F39" s="64">
        <f>'Tube wts'!F40</f>
        <v>0.98619999999999997</v>
      </c>
      <c r="G39" s="64">
        <f>'Tube wts'!G40</f>
        <v>0.99629999999999996</v>
      </c>
      <c r="H39" s="61">
        <f t="shared" si="26"/>
        <v>1.0099999999999998E-2</v>
      </c>
      <c r="I39" s="61">
        <f t="shared" si="1"/>
        <v>90.899999999999977</v>
      </c>
      <c r="J39" s="26" t="s">
        <v>106</v>
      </c>
      <c r="K39" s="26">
        <v>133</v>
      </c>
      <c r="L39" s="26">
        <v>8</v>
      </c>
      <c r="M39" s="26">
        <v>1</v>
      </c>
      <c r="N39" s="26">
        <v>0</v>
      </c>
      <c r="O39" s="26" t="s">
        <v>106</v>
      </c>
      <c r="P39" s="26">
        <v>50</v>
      </c>
      <c r="Q39" s="64">
        <f t="shared" si="2"/>
        <v>20</v>
      </c>
      <c r="R39" s="39"/>
      <c r="S39" s="39">
        <f t="shared" si="32"/>
        <v>266000</v>
      </c>
      <c r="T39" s="39">
        <f t="shared" si="10"/>
        <v>160000</v>
      </c>
      <c r="U39" s="39">
        <f t="shared" si="27"/>
        <v>200000</v>
      </c>
      <c r="V39" s="39">
        <f t="shared" si="28"/>
        <v>0</v>
      </c>
      <c r="W39" s="39"/>
      <c r="X39" s="80"/>
      <c r="Y39" s="81">
        <f t="shared" si="30"/>
        <v>156500</v>
      </c>
    </row>
    <row r="40" spans="1:25" customFormat="1">
      <c r="A40" s="72" t="s">
        <v>8</v>
      </c>
      <c r="B40" s="73">
        <v>4</v>
      </c>
      <c r="C40" s="74">
        <v>43590</v>
      </c>
      <c r="D40" s="75" t="s">
        <v>127</v>
      </c>
      <c r="E40" s="75" t="s">
        <v>40</v>
      </c>
      <c r="F40" s="64">
        <f>'Tube wts'!F41</f>
        <v>0.99260000000000004</v>
      </c>
      <c r="G40" s="64">
        <f>'Tube wts'!G41</f>
        <v>1.0099</v>
      </c>
      <c r="H40" s="73">
        <f t="shared" si="26"/>
        <v>1.7299999999999982E-2</v>
      </c>
      <c r="I40" s="73">
        <f t="shared" si="1"/>
        <v>155.69999999999985</v>
      </c>
      <c r="J40" s="76" t="s">
        <v>106</v>
      </c>
      <c r="K40" s="76" t="s">
        <v>59</v>
      </c>
      <c r="L40" s="76" t="s">
        <v>59</v>
      </c>
      <c r="M40" s="76">
        <v>131</v>
      </c>
      <c r="N40" s="76">
        <v>10</v>
      </c>
      <c r="O40" s="76" t="s">
        <v>106</v>
      </c>
      <c r="P40" s="76">
        <v>50</v>
      </c>
      <c r="Q40" s="77">
        <f t="shared" si="2"/>
        <v>20</v>
      </c>
      <c r="R40" s="78"/>
      <c r="S40" s="78"/>
      <c r="T40" s="78"/>
      <c r="U40" s="78">
        <f t="shared" si="27"/>
        <v>26200000</v>
      </c>
      <c r="V40" s="78">
        <f t="shared" si="28"/>
        <v>19999999.999999996</v>
      </c>
      <c r="W40" s="78"/>
      <c r="X40" s="82"/>
      <c r="Y40" s="83">
        <f t="shared" si="30"/>
        <v>23100000</v>
      </c>
    </row>
    <row r="41" spans="1:25" customFormat="1" ht="17" thickBot="1">
      <c r="A41" s="84" t="s">
        <v>8</v>
      </c>
      <c r="B41" s="85">
        <v>4</v>
      </c>
      <c r="C41" s="86">
        <v>43590</v>
      </c>
      <c r="D41" s="87" t="s">
        <v>128</v>
      </c>
      <c r="E41" s="87" t="s">
        <v>41</v>
      </c>
      <c r="F41" s="64">
        <f>'Tube wts'!F42</f>
        <v>0.9899</v>
      </c>
      <c r="G41" s="64">
        <f>'Tube wts'!G42</f>
        <v>1.0284</v>
      </c>
      <c r="H41" s="85">
        <f t="shared" si="26"/>
        <v>3.8499999999999979E-2</v>
      </c>
      <c r="I41" s="85">
        <f t="shared" si="1"/>
        <v>346.49999999999983</v>
      </c>
      <c r="J41" s="89" t="s">
        <v>106</v>
      </c>
      <c r="K41" s="89" t="s">
        <v>59</v>
      </c>
      <c r="L41" s="89">
        <v>149</v>
      </c>
      <c r="M41" s="89">
        <v>14</v>
      </c>
      <c r="N41" s="89">
        <v>1</v>
      </c>
      <c r="O41" s="88" t="s">
        <v>106</v>
      </c>
      <c r="P41" s="88">
        <v>50</v>
      </c>
      <c r="Q41" s="90">
        <f t="shared" si="2"/>
        <v>20</v>
      </c>
      <c r="R41" s="91"/>
      <c r="S41" s="91"/>
      <c r="T41" s="91">
        <f t="shared" si="10"/>
        <v>2980000</v>
      </c>
      <c r="U41" s="91">
        <f t="shared" si="27"/>
        <v>2800000</v>
      </c>
      <c r="V41" s="91">
        <f t="shared" si="28"/>
        <v>1999999.9999999998</v>
      </c>
      <c r="W41" s="91"/>
      <c r="X41" s="92"/>
      <c r="Y41" s="93">
        <f t="shared" si="30"/>
        <v>2593333.3333333335</v>
      </c>
    </row>
    <row r="42" spans="1:25" customFormat="1">
      <c r="A42" s="20" t="s">
        <v>74</v>
      </c>
      <c r="B42" s="63">
        <v>5</v>
      </c>
      <c r="C42" s="96">
        <v>43591</v>
      </c>
      <c r="D42" s="63" t="s">
        <v>121</v>
      </c>
      <c r="E42" s="63" t="s">
        <v>40</v>
      </c>
      <c r="F42" s="64">
        <f>'Tube wts'!F43</f>
        <v>0.97450000000000003</v>
      </c>
      <c r="G42" s="64">
        <f>'Tube wts'!G43</f>
        <v>1.0036</v>
      </c>
      <c r="H42" s="63">
        <f>G42-F42</f>
        <v>2.9100000000000015E-2</v>
      </c>
      <c r="I42" s="63">
        <f>H42*9000</f>
        <v>261.90000000000015</v>
      </c>
      <c r="J42" s="26" t="s">
        <v>106</v>
      </c>
      <c r="K42" s="26" t="s">
        <v>106</v>
      </c>
      <c r="L42" s="64" t="s">
        <v>59</v>
      </c>
      <c r="M42" s="64" t="s">
        <v>59</v>
      </c>
      <c r="N42" s="64">
        <v>44</v>
      </c>
      <c r="O42" s="64">
        <v>2</v>
      </c>
      <c r="P42" s="64">
        <v>50</v>
      </c>
      <c r="Q42" s="64">
        <f>1/(P42/1000)</f>
        <v>20</v>
      </c>
      <c r="R42" s="39"/>
      <c r="S42" s="39"/>
      <c r="T42" s="39"/>
      <c r="U42" s="39"/>
      <c r="V42" s="39">
        <f>Q42 * (1/10^-5) *N42</f>
        <v>87999999.999999985</v>
      </c>
      <c r="W42" s="39">
        <f>Q42 * (1/10^-6) *O42</f>
        <v>40000000</v>
      </c>
      <c r="X42" s="97"/>
      <c r="Y42" s="98">
        <f>AVERAGE(R42:W42)</f>
        <v>63999999.999999993</v>
      </c>
    </row>
    <row r="43" spans="1:25" customFormat="1">
      <c r="A43" s="60" t="s">
        <v>74</v>
      </c>
      <c r="B43" s="61">
        <v>5</v>
      </c>
      <c r="C43" s="62">
        <v>43591</v>
      </c>
      <c r="D43" s="61" t="s">
        <v>122</v>
      </c>
      <c r="E43" s="61" t="s">
        <v>41</v>
      </c>
      <c r="F43" s="64">
        <f>'Tube wts'!F44</f>
        <v>0.97809999999999997</v>
      </c>
      <c r="G43" s="64">
        <f>'Tube wts'!G44</f>
        <v>1.006</v>
      </c>
      <c r="H43" s="61">
        <f t="shared" ref="H43:H49" si="33">G43-F43</f>
        <v>2.7900000000000036E-2</v>
      </c>
      <c r="I43" s="61">
        <f t="shared" si="1"/>
        <v>251.10000000000034</v>
      </c>
      <c r="J43" s="26" t="s">
        <v>106</v>
      </c>
      <c r="K43" s="26" t="s">
        <v>106</v>
      </c>
      <c r="L43" s="26" t="s">
        <v>59</v>
      </c>
      <c r="M43" s="26">
        <v>153</v>
      </c>
      <c r="N43" s="26">
        <v>30</v>
      </c>
      <c r="O43" s="26">
        <v>2</v>
      </c>
      <c r="P43" s="26">
        <v>50</v>
      </c>
      <c r="Q43" s="64">
        <f t="shared" si="2"/>
        <v>20</v>
      </c>
      <c r="R43" s="39"/>
      <c r="S43" s="39"/>
      <c r="T43" s="39"/>
      <c r="U43" s="39">
        <f t="shared" ref="U43:U49" si="34">Q43 * (1/10^-4) *M43</f>
        <v>30600000</v>
      </c>
      <c r="V43" s="39">
        <f t="shared" ref="V43:V49" si="35">Q43 * (1/10^-5) *N43</f>
        <v>59999999.999999993</v>
      </c>
      <c r="W43" s="39">
        <f t="shared" ref="W43" si="36">Q43 * (1/10^-6) *O43</f>
        <v>40000000</v>
      </c>
      <c r="X43" s="80"/>
      <c r="Y43" s="81">
        <f t="shared" ref="Y43:Y48" si="37">AVERAGE(R43:W43)</f>
        <v>43533333.333333336</v>
      </c>
    </row>
    <row r="44" spans="1:25" customFormat="1">
      <c r="A44" s="72" t="s">
        <v>28</v>
      </c>
      <c r="B44" s="73">
        <v>5</v>
      </c>
      <c r="C44" s="74">
        <v>43591</v>
      </c>
      <c r="D44" s="75" t="s">
        <v>123</v>
      </c>
      <c r="E44" s="75" t="s">
        <v>40</v>
      </c>
      <c r="F44" s="64">
        <f>'Tube wts'!F45</f>
        <v>0.9839</v>
      </c>
      <c r="G44" s="64">
        <f>'Tube wts'!G45</f>
        <v>1.0206</v>
      </c>
      <c r="H44" s="73">
        <f t="shared" si="33"/>
        <v>3.6699999999999955E-2</v>
      </c>
      <c r="I44" s="73">
        <f t="shared" si="1"/>
        <v>330.29999999999961</v>
      </c>
      <c r="J44" s="76">
        <v>0</v>
      </c>
      <c r="K44" s="76">
        <v>0</v>
      </c>
      <c r="L44" s="76" t="s">
        <v>106</v>
      </c>
      <c r="M44" s="76" t="s">
        <v>106</v>
      </c>
      <c r="N44" s="76" t="s">
        <v>106</v>
      </c>
      <c r="O44" s="76" t="s">
        <v>106</v>
      </c>
      <c r="P44" s="76">
        <v>50</v>
      </c>
      <c r="Q44" s="77">
        <f t="shared" si="2"/>
        <v>20</v>
      </c>
      <c r="R44" s="78">
        <f t="shared" ref="R44:R47" si="38">Q44 * (1/10^-1) *J44</f>
        <v>0</v>
      </c>
      <c r="S44" s="78">
        <f t="shared" ref="S44:S49" si="39">Q44 * (1/10^-2) *K44</f>
        <v>0</v>
      </c>
      <c r="T44" s="78"/>
      <c r="U44" s="78"/>
      <c r="V44" s="78"/>
      <c r="W44" s="78"/>
      <c r="X44" s="82"/>
      <c r="Y44" s="83">
        <f t="shared" si="37"/>
        <v>0</v>
      </c>
    </row>
    <row r="45" spans="1:25" customFormat="1">
      <c r="A45" s="72" t="s">
        <v>28</v>
      </c>
      <c r="B45" s="73">
        <v>5</v>
      </c>
      <c r="C45" s="74">
        <v>43591</v>
      </c>
      <c r="D45" s="75" t="s">
        <v>124</v>
      </c>
      <c r="E45" s="75" t="s">
        <v>41</v>
      </c>
      <c r="F45" s="64">
        <f>'Tube wts'!F46</f>
        <v>0.98319999999999996</v>
      </c>
      <c r="G45" s="64">
        <f>'Tube wts'!G46</f>
        <v>1.0108999999999999</v>
      </c>
      <c r="H45" s="73">
        <f t="shared" si="33"/>
        <v>2.7699999999999947E-2</v>
      </c>
      <c r="I45" s="73">
        <f t="shared" si="1"/>
        <v>249.29999999999953</v>
      </c>
      <c r="J45" s="76">
        <v>0</v>
      </c>
      <c r="K45" s="76">
        <v>0</v>
      </c>
      <c r="L45" s="76" t="s">
        <v>106</v>
      </c>
      <c r="M45" s="76" t="s">
        <v>106</v>
      </c>
      <c r="N45" s="76" t="s">
        <v>106</v>
      </c>
      <c r="O45" s="76" t="s">
        <v>106</v>
      </c>
      <c r="P45" s="76">
        <v>50</v>
      </c>
      <c r="Q45" s="77">
        <f t="shared" si="2"/>
        <v>20</v>
      </c>
      <c r="R45" s="78">
        <f t="shared" si="38"/>
        <v>0</v>
      </c>
      <c r="S45" s="78">
        <f t="shared" si="39"/>
        <v>0</v>
      </c>
      <c r="T45" s="78"/>
      <c r="U45" s="78"/>
      <c r="V45" s="78"/>
      <c r="W45" s="78"/>
      <c r="X45" s="82"/>
      <c r="Y45" s="83">
        <f t="shared" si="37"/>
        <v>0</v>
      </c>
    </row>
    <row r="46" spans="1:25" customFormat="1">
      <c r="A46" s="60" t="s">
        <v>83</v>
      </c>
      <c r="B46" s="61">
        <v>5</v>
      </c>
      <c r="C46" s="62">
        <v>43591</v>
      </c>
      <c r="D46" s="61" t="s">
        <v>125</v>
      </c>
      <c r="E46" s="61" t="s">
        <v>40</v>
      </c>
      <c r="F46" s="64">
        <f>'Tube wts'!F47</f>
        <v>0.98260000000000003</v>
      </c>
      <c r="G46" s="64">
        <f>'Tube wts'!G47</f>
        <v>1.0079</v>
      </c>
      <c r="H46" s="61">
        <f t="shared" si="33"/>
        <v>2.5299999999999989E-2</v>
      </c>
      <c r="I46" s="61">
        <f t="shared" si="1"/>
        <v>227.6999999999999</v>
      </c>
      <c r="J46" s="26">
        <v>3</v>
      </c>
      <c r="K46" s="26">
        <v>3</v>
      </c>
      <c r="L46" s="26">
        <v>0</v>
      </c>
      <c r="M46" s="26" t="s">
        <v>106</v>
      </c>
      <c r="N46" s="26" t="s">
        <v>106</v>
      </c>
      <c r="O46" s="26" t="s">
        <v>106</v>
      </c>
      <c r="P46" s="26">
        <v>50</v>
      </c>
      <c r="Q46" s="64">
        <f t="shared" si="2"/>
        <v>20</v>
      </c>
      <c r="R46" s="39">
        <f t="shared" si="38"/>
        <v>600</v>
      </c>
      <c r="S46" s="39">
        <f t="shared" si="39"/>
        <v>6000</v>
      </c>
      <c r="T46" s="39">
        <f t="shared" si="10"/>
        <v>0</v>
      </c>
      <c r="U46" s="39"/>
      <c r="V46" s="39"/>
      <c r="W46" s="39"/>
      <c r="X46" s="80"/>
      <c r="Y46" s="81">
        <f>AVERAGE(R46:S46)</f>
        <v>3300</v>
      </c>
    </row>
    <row r="47" spans="1:25" customFormat="1">
      <c r="A47" s="60" t="s">
        <v>83</v>
      </c>
      <c r="B47" s="61">
        <v>5</v>
      </c>
      <c r="C47" s="62">
        <v>43591</v>
      </c>
      <c r="D47" s="61" t="s">
        <v>126</v>
      </c>
      <c r="E47" s="61" t="s">
        <v>41</v>
      </c>
      <c r="F47" s="64">
        <f>'Tube wts'!F48</f>
        <v>0.98360000000000003</v>
      </c>
      <c r="G47" s="64">
        <f>'Tube wts'!G48</f>
        <v>1.0197000000000001</v>
      </c>
      <c r="H47" s="61">
        <f t="shared" si="33"/>
        <v>3.6100000000000021E-2</v>
      </c>
      <c r="I47" s="61">
        <f t="shared" si="1"/>
        <v>324.9000000000002</v>
      </c>
      <c r="J47" s="26">
        <v>2</v>
      </c>
      <c r="K47" s="26">
        <v>2</v>
      </c>
      <c r="L47" s="26">
        <v>0</v>
      </c>
      <c r="M47" s="26" t="s">
        <v>106</v>
      </c>
      <c r="N47" s="26" t="s">
        <v>106</v>
      </c>
      <c r="O47" s="26" t="s">
        <v>106</v>
      </c>
      <c r="P47" s="26">
        <v>50</v>
      </c>
      <c r="Q47" s="64">
        <f t="shared" si="2"/>
        <v>20</v>
      </c>
      <c r="R47" s="39">
        <f t="shared" si="38"/>
        <v>400</v>
      </c>
      <c r="S47" s="39">
        <f t="shared" si="39"/>
        <v>4000</v>
      </c>
      <c r="T47" s="39">
        <f t="shared" si="10"/>
        <v>0</v>
      </c>
      <c r="U47" s="39"/>
      <c r="V47" s="39"/>
      <c r="W47" s="39"/>
      <c r="X47" s="80"/>
      <c r="Y47" s="81">
        <f>AVERAGE(R47:S47)</f>
        <v>2200</v>
      </c>
    </row>
    <row r="48" spans="1:25" customFormat="1">
      <c r="A48" s="72" t="s">
        <v>8</v>
      </c>
      <c r="B48" s="73">
        <v>5</v>
      </c>
      <c r="C48" s="74">
        <v>43591</v>
      </c>
      <c r="D48" s="75" t="s">
        <v>127</v>
      </c>
      <c r="E48" s="75" t="s">
        <v>40</v>
      </c>
      <c r="F48" s="64">
        <f>'Tube wts'!F49</f>
        <v>0.98019999999999996</v>
      </c>
      <c r="G48" s="64">
        <f>'Tube wts'!G49</f>
        <v>1.0153000000000001</v>
      </c>
      <c r="H48" s="73">
        <f t="shared" si="33"/>
        <v>3.5100000000000131E-2</v>
      </c>
      <c r="I48" s="73">
        <f t="shared" si="1"/>
        <v>315.90000000000117</v>
      </c>
      <c r="J48" s="76" t="s">
        <v>106</v>
      </c>
      <c r="K48" s="76" t="s">
        <v>59</v>
      </c>
      <c r="L48" s="76" t="s">
        <v>59</v>
      </c>
      <c r="M48" s="76">
        <v>47</v>
      </c>
      <c r="N48" s="76">
        <v>8</v>
      </c>
      <c r="O48" s="76" t="s">
        <v>106</v>
      </c>
      <c r="P48" s="76">
        <v>50</v>
      </c>
      <c r="Q48" s="77">
        <f t="shared" si="2"/>
        <v>20</v>
      </c>
      <c r="R48" s="78"/>
      <c r="S48" s="78"/>
      <c r="T48" s="78"/>
      <c r="U48" s="78">
        <f t="shared" si="34"/>
        <v>9400000</v>
      </c>
      <c r="V48" s="78">
        <f t="shared" si="35"/>
        <v>15999999.999999998</v>
      </c>
      <c r="W48" s="78"/>
      <c r="X48" s="82"/>
      <c r="Y48" s="83">
        <f t="shared" si="37"/>
        <v>12700000</v>
      </c>
    </row>
    <row r="49" spans="1:25" customFormat="1" ht="17" thickBot="1">
      <c r="A49" s="84" t="s">
        <v>8</v>
      </c>
      <c r="B49" s="85">
        <v>5</v>
      </c>
      <c r="C49" s="86">
        <v>43591</v>
      </c>
      <c r="D49" s="87" t="s">
        <v>128</v>
      </c>
      <c r="E49" s="87" t="s">
        <v>41</v>
      </c>
      <c r="F49" s="64">
        <f>'Tube wts'!F50</f>
        <v>0.98570000000000002</v>
      </c>
      <c r="G49" s="64">
        <f>'Tube wts'!G50</f>
        <v>1.0255000000000001</v>
      </c>
      <c r="H49" s="85">
        <f t="shared" si="33"/>
        <v>3.9800000000000058E-2</v>
      </c>
      <c r="I49" s="85">
        <f t="shared" si="1"/>
        <v>358.2000000000005</v>
      </c>
      <c r="J49" s="89" t="s">
        <v>106</v>
      </c>
      <c r="K49" s="89">
        <v>7</v>
      </c>
      <c r="L49" s="89">
        <v>0</v>
      </c>
      <c r="M49" s="89">
        <v>0</v>
      </c>
      <c r="N49" s="89">
        <v>0</v>
      </c>
      <c r="O49" s="88" t="s">
        <v>106</v>
      </c>
      <c r="P49" s="88">
        <v>50</v>
      </c>
      <c r="Q49" s="90">
        <f t="shared" si="2"/>
        <v>20</v>
      </c>
      <c r="R49" s="91"/>
      <c r="S49" s="91">
        <f t="shared" si="39"/>
        <v>14000</v>
      </c>
      <c r="T49" s="91">
        <f t="shared" si="10"/>
        <v>0</v>
      </c>
      <c r="U49" s="91">
        <f t="shared" si="34"/>
        <v>0</v>
      </c>
      <c r="V49" s="91">
        <f t="shared" si="35"/>
        <v>0</v>
      </c>
      <c r="W49" s="91"/>
      <c r="X49" s="92"/>
      <c r="Y49" s="93">
        <f>AVERAGE(R49:S49)</f>
        <v>14000</v>
      </c>
    </row>
    <row r="50" spans="1:25" customFormat="1">
      <c r="A50" s="20" t="s">
        <v>74</v>
      </c>
      <c r="B50" s="63">
        <v>6</v>
      </c>
      <c r="C50" s="96">
        <v>43592</v>
      </c>
      <c r="D50" s="63" t="s">
        <v>121</v>
      </c>
      <c r="E50" s="63" t="s">
        <v>40</v>
      </c>
      <c r="F50" s="64">
        <f>'Tube wts'!F51</f>
        <v>0.98299999999999998</v>
      </c>
      <c r="G50" s="64">
        <f>'Tube wts'!G51</f>
        <v>1.0077</v>
      </c>
      <c r="H50" s="63">
        <f>G50-F50</f>
        <v>2.4700000000000055E-2</v>
      </c>
      <c r="I50" s="63">
        <f>H50*9000</f>
        <v>222.30000000000049</v>
      </c>
      <c r="J50" s="26" t="s">
        <v>106</v>
      </c>
      <c r="K50" s="26" t="s">
        <v>106</v>
      </c>
      <c r="L50" s="64" t="s">
        <v>59</v>
      </c>
      <c r="M50" s="64">
        <v>229</v>
      </c>
      <c r="N50" s="64">
        <v>30</v>
      </c>
      <c r="O50" s="64">
        <v>0</v>
      </c>
      <c r="P50" s="64">
        <v>50</v>
      </c>
      <c r="Q50" s="64">
        <f>1/(P50/1000)</f>
        <v>20</v>
      </c>
      <c r="R50" s="39"/>
      <c r="S50" s="39"/>
      <c r="T50" s="39"/>
      <c r="U50" s="39">
        <f>Q50 * (1/10^-4) *M50</f>
        <v>45800000</v>
      </c>
      <c r="V50" s="39">
        <f>Q50 * (1/10^-5) *N50</f>
        <v>59999999.999999993</v>
      </c>
      <c r="W50" s="39"/>
      <c r="X50" s="97"/>
      <c r="Y50" s="98">
        <f>AVERAGE(R50:W50)</f>
        <v>52900000</v>
      </c>
    </row>
    <row r="51" spans="1:25" customFormat="1">
      <c r="A51" s="60" t="s">
        <v>74</v>
      </c>
      <c r="B51" s="61">
        <v>6</v>
      </c>
      <c r="C51" s="62">
        <v>43592</v>
      </c>
      <c r="D51" s="61" t="s">
        <v>122</v>
      </c>
      <c r="E51" s="61" t="s">
        <v>41</v>
      </c>
      <c r="F51" s="64">
        <f>'Tube wts'!F52</f>
        <v>0.9899</v>
      </c>
      <c r="G51" s="64">
        <f>'Tube wts'!G52</f>
        <v>1.0129999999999999</v>
      </c>
      <c r="H51" s="61">
        <f t="shared" ref="H51:H57" si="40">G51-F51</f>
        <v>2.3099999999999898E-2</v>
      </c>
      <c r="I51" s="61">
        <f t="shared" si="1"/>
        <v>207.8999999999991</v>
      </c>
      <c r="J51" s="26" t="s">
        <v>106</v>
      </c>
      <c r="K51" s="26" t="s">
        <v>106</v>
      </c>
      <c r="L51" s="26" t="s">
        <v>59</v>
      </c>
      <c r="M51" s="26" t="s">
        <v>59</v>
      </c>
      <c r="N51" s="26">
        <v>39</v>
      </c>
      <c r="O51" s="26">
        <v>9</v>
      </c>
      <c r="P51" s="26">
        <v>50</v>
      </c>
      <c r="Q51" s="64">
        <f t="shared" si="2"/>
        <v>20</v>
      </c>
      <c r="R51" s="39"/>
      <c r="S51" s="39"/>
      <c r="T51" s="39"/>
      <c r="U51" s="39"/>
      <c r="V51" s="39">
        <f t="shared" ref="V51:V56" si="41">Q51 * (1/10^-5) *N51</f>
        <v>77999999.999999985</v>
      </c>
      <c r="W51" s="39">
        <f t="shared" ref="W51" si="42">Q51 * (1/10^-6) *O51</f>
        <v>180000000</v>
      </c>
      <c r="X51" s="80"/>
      <c r="Y51" s="81">
        <f t="shared" ref="Y51:Y56" si="43">AVERAGE(R51:W51)</f>
        <v>129000000</v>
      </c>
    </row>
    <row r="52" spans="1:25" customFormat="1">
      <c r="A52" s="72" t="s">
        <v>28</v>
      </c>
      <c r="B52" s="73">
        <v>6</v>
      </c>
      <c r="C52" s="74">
        <v>43592</v>
      </c>
      <c r="D52" s="75" t="s">
        <v>123</v>
      </c>
      <c r="E52" s="75" t="s">
        <v>40</v>
      </c>
      <c r="F52" s="64">
        <f>'Tube wts'!F53</f>
        <v>0.9889</v>
      </c>
      <c r="G52" s="64">
        <f>'Tube wts'!G53</f>
        <v>1.0174000000000001</v>
      </c>
      <c r="H52" s="73">
        <f t="shared" si="40"/>
        <v>2.8500000000000081E-2</v>
      </c>
      <c r="I52" s="73">
        <f t="shared" si="1"/>
        <v>256.50000000000074</v>
      </c>
      <c r="J52" s="76">
        <v>0</v>
      </c>
      <c r="K52" s="76">
        <v>0</v>
      </c>
      <c r="L52" s="76" t="s">
        <v>106</v>
      </c>
      <c r="M52" s="76" t="s">
        <v>106</v>
      </c>
      <c r="N52" s="76" t="s">
        <v>106</v>
      </c>
      <c r="O52" s="76" t="s">
        <v>106</v>
      </c>
      <c r="P52" s="76">
        <v>50</v>
      </c>
      <c r="Q52" s="77">
        <f t="shared" si="2"/>
        <v>20</v>
      </c>
      <c r="R52" s="78">
        <f t="shared" ref="R52:R57" si="44">Q52 * (1/10^-1) *J52</f>
        <v>0</v>
      </c>
      <c r="S52" s="78">
        <f t="shared" ref="S52:S57" si="45">Q52 * (1/10^-2) *K52</f>
        <v>0</v>
      </c>
      <c r="T52" s="78"/>
      <c r="U52" s="78"/>
      <c r="V52" s="78"/>
      <c r="W52" s="78"/>
      <c r="X52" s="82"/>
      <c r="Y52" s="83">
        <f t="shared" si="43"/>
        <v>0</v>
      </c>
    </row>
    <row r="53" spans="1:25" customFormat="1">
      <c r="A53" s="72" t="s">
        <v>28</v>
      </c>
      <c r="B53" s="73">
        <v>6</v>
      </c>
      <c r="C53" s="74">
        <v>43592</v>
      </c>
      <c r="D53" s="75" t="s">
        <v>124</v>
      </c>
      <c r="E53" s="75" t="s">
        <v>41</v>
      </c>
      <c r="F53" s="64">
        <f>'Tube wts'!F54</f>
        <v>0.9889</v>
      </c>
      <c r="G53" s="64">
        <f>'Tube wts'!G54</f>
        <v>1.0205</v>
      </c>
      <c r="H53" s="73">
        <f t="shared" si="40"/>
        <v>3.1599999999999961E-2</v>
      </c>
      <c r="I53" s="73">
        <f t="shared" si="1"/>
        <v>284.39999999999964</v>
      </c>
      <c r="J53" s="76">
        <v>0</v>
      </c>
      <c r="K53" s="76">
        <v>0</v>
      </c>
      <c r="L53" s="76" t="s">
        <v>106</v>
      </c>
      <c r="M53" s="76" t="s">
        <v>106</v>
      </c>
      <c r="N53" s="76" t="s">
        <v>106</v>
      </c>
      <c r="O53" s="76" t="s">
        <v>106</v>
      </c>
      <c r="P53" s="76">
        <v>50</v>
      </c>
      <c r="Q53" s="77">
        <f t="shared" si="2"/>
        <v>20</v>
      </c>
      <c r="R53" s="78">
        <f t="shared" si="44"/>
        <v>0</v>
      </c>
      <c r="S53" s="78">
        <f t="shared" si="45"/>
        <v>0</v>
      </c>
      <c r="T53" s="78"/>
      <c r="U53" s="78"/>
      <c r="V53" s="78"/>
      <c r="W53" s="78"/>
      <c r="X53" s="82"/>
      <c r="Y53" s="83">
        <f t="shared" si="43"/>
        <v>0</v>
      </c>
    </row>
    <row r="54" spans="1:25" customFormat="1">
      <c r="A54" s="60" t="s">
        <v>83</v>
      </c>
      <c r="B54" s="61">
        <v>6</v>
      </c>
      <c r="C54" s="62">
        <v>43592</v>
      </c>
      <c r="D54" s="61" t="s">
        <v>125</v>
      </c>
      <c r="E54" s="61" t="s">
        <v>40</v>
      </c>
      <c r="F54" s="64">
        <f>'Tube wts'!F55</f>
        <v>0.9748</v>
      </c>
      <c r="G54" s="64">
        <f>'Tube wts'!G55</f>
        <v>0.99580000000000002</v>
      </c>
      <c r="H54" s="61">
        <f t="shared" si="40"/>
        <v>2.1000000000000019E-2</v>
      </c>
      <c r="I54" s="61">
        <f t="shared" si="1"/>
        <v>189.00000000000017</v>
      </c>
      <c r="J54" s="26">
        <v>1</v>
      </c>
      <c r="K54" s="26">
        <v>0</v>
      </c>
      <c r="L54" s="26">
        <v>0</v>
      </c>
      <c r="M54" s="26" t="s">
        <v>106</v>
      </c>
      <c r="N54" s="26" t="s">
        <v>106</v>
      </c>
      <c r="O54" s="26" t="s">
        <v>106</v>
      </c>
      <c r="P54" s="26">
        <v>50</v>
      </c>
      <c r="Q54" s="64">
        <f t="shared" si="2"/>
        <v>20</v>
      </c>
      <c r="R54" s="39">
        <f t="shared" si="44"/>
        <v>200</v>
      </c>
      <c r="S54" s="39">
        <f t="shared" si="45"/>
        <v>0</v>
      </c>
      <c r="T54" s="39">
        <f t="shared" si="10"/>
        <v>0</v>
      </c>
      <c r="U54" s="39"/>
      <c r="V54" s="39"/>
      <c r="W54" s="39"/>
      <c r="X54" s="80"/>
      <c r="Y54" s="81">
        <f>AVERAGE(R54)</f>
        <v>200</v>
      </c>
    </row>
    <row r="55" spans="1:25" customFormat="1">
      <c r="A55" s="60" t="s">
        <v>83</v>
      </c>
      <c r="B55" s="61">
        <v>6</v>
      </c>
      <c r="C55" s="62">
        <v>43592</v>
      </c>
      <c r="D55" s="61" t="s">
        <v>126</v>
      </c>
      <c r="E55" s="61" t="s">
        <v>41</v>
      </c>
      <c r="F55" s="64">
        <f>'Tube wts'!F56</f>
        <v>0.98899999999999999</v>
      </c>
      <c r="G55" s="64">
        <f>'Tube wts'!G56</f>
        <v>1.0058</v>
      </c>
      <c r="H55" s="61">
        <f t="shared" si="40"/>
        <v>1.6800000000000037E-2</v>
      </c>
      <c r="I55" s="61">
        <f t="shared" si="1"/>
        <v>151.20000000000033</v>
      </c>
      <c r="J55" s="26">
        <v>51</v>
      </c>
      <c r="K55" s="26">
        <v>44</v>
      </c>
      <c r="L55" s="26">
        <v>0</v>
      </c>
      <c r="M55" s="26" t="s">
        <v>106</v>
      </c>
      <c r="N55" s="26" t="s">
        <v>106</v>
      </c>
      <c r="O55" s="26" t="s">
        <v>106</v>
      </c>
      <c r="P55" s="26">
        <v>50</v>
      </c>
      <c r="Q55" s="64">
        <f t="shared" si="2"/>
        <v>20</v>
      </c>
      <c r="R55" s="39">
        <f t="shared" si="44"/>
        <v>10200</v>
      </c>
      <c r="S55" s="39">
        <f t="shared" si="45"/>
        <v>88000</v>
      </c>
      <c r="T55" s="39">
        <f t="shared" si="10"/>
        <v>0</v>
      </c>
      <c r="U55" s="39"/>
      <c r="V55" s="39"/>
      <c r="W55" s="39"/>
      <c r="X55" s="80"/>
      <c r="Y55" s="81">
        <f>AVERAGE(R55:S55)</f>
        <v>49100</v>
      </c>
    </row>
    <row r="56" spans="1:25" customFormat="1">
      <c r="A56" s="72" t="s">
        <v>8</v>
      </c>
      <c r="B56" s="73">
        <v>6</v>
      </c>
      <c r="C56" s="74">
        <v>43592</v>
      </c>
      <c r="D56" s="75" t="s">
        <v>127</v>
      </c>
      <c r="E56" s="75" t="s">
        <v>40</v>
      </c>
      <c r="F56" s="64">
        <f>'Tube wts'!F57</f>
        <v>0.98419999999999996</v>
      </c>
      <c r="G56" s="64">
        <f>'Tube wts'!G57</f>
        <v>1.0046999999999999</v>
      </c>
      <c r="H56" s="73">
        <f t="shared" si="40"/>
        <v>2.0499999999999963E-2</v>
      </c>
      <c r="I56" s="73">
        <f t="shared" si="1"/>
        <v>184.49999999999966</v>
      </c>
      <c r="J56" s="76" t="s">
        <v>106</v>
      </c>
      <c r="K56" s="76">
        <v>29</v>
      </c>
      <c r="L56" s="76">
        <v>5</v>
      </c>
      <c r="M56" s="76">
        <v>0</v>
      </c>
      <c r="N56" s="76">
        <v>6</v>
      </c>
      <c r="O56" s="76" t="s">
        <v>106</v>
      </c>
      <c r="P56" s="76">
        <v>50</v>
      </c>
      <c r="Q56" s="77">
        <f t="shared" si="2"/>
        <v>20</v>
      </c>
      <c r="R56" s="78"/>
      <c r="S56" s="78">
        <f t="shared" si="45"/>
        <v>58000</v>
      </c>
      <c r="T56" s="78">
        <f t="shared" si="10"/>
        <v>100000</v>
      </c>
      <c r="U56" s="78">
        <f t="shared" ref="U56:U57" si="46">Q56 * (1/10^-4) *M56</f>
        <v>0</v>
      </c>
      <c r="V56" s="78">
        <f t="shared" si="41"/>
        <v>11999999.999999998</v>
      </c>
      <c r="W56" s="78"/>
      <c r="X56" s="82"/>
      <c r="Y56" s="83">
        <f t="shared" si="43"/>
        <v>3039499.9999999995</v>
      </c>
    </row>
    <row r="57" spans="1:25" customFormat="1" ht="17" thickBot="1">
      <c r="A57" s="84" t="s">
        <v>8</v>
      </c>
      <c r="B57" s="85">
        <v>6</v>
      </c>
      <c r="C57" s="86">
        <v>43592</v>
      </c>
      <c r="D57" s="87" t="s">
        <v>128</v>
      </c>
      <c r="E57" s="87" t="s">
        <v>41</v>
      </c>
      <c r="F57" s="64">
        <f>'Tube wts'!F58</f>
        <v>0.96760000000000002</v>
      </c>
      <c r="G57" s="64">
        <f>'Tube wts'!G58</f>
        <v>0.98560000000000003</v>
      </c>
      <c r="H57" s="85">
        <f t="shared" si="40"/>
        <v>1.8000000000000016E-2</v>
      </c>
      <c r="I57" s="85">
        <f t="shared" si="1"/>
        <v>162.00000000000014</v>
      </c>
      <c r="J57" s="89">
        <v>5</v>
      </c>
      <c r="K57" s="89">
        <v>1</v>
      </c>
      <c r="L57" s="89">
        <v>1</v>
      </c>
      <c r="M57" s="89">
        <v>0</v>
      </c>
      <c r="N57" s="89" t="s">
        <v>106</v>
      </c>
      <c r="O57" s="88" t="s">
        <v>106</v>
      </c>
      <c r="P57" s="88">
        <v>50</v>
      </c>
      <c r="Q57" s="90">
        <f t="shared" si="2"/>
        <v>20</v>
      </c>
      <c r="R57" s="91">
        <f t="shared" si="44"/>
        <v>1000</v>
      </c>
      <c r="S57" s="91">
        <f t="shared" si="45"/>
        <v>2000</v>
      </c>
      <c r="T57" s="91">
        <f t="shared" si="10"/>
        <v>20000</v>
      </c>
      <c r="U57" s="91">
        <f t="shared" si="46"/>
        <v>0</v>
      </c>
      <c r="V57" s="91"/>
      <c r="W57" s="91"/>
      <c r="X57" s="92"/>
      <c r="Y57" s="93">
        <f>AVERAGE(R57:T57)</f>
        <v>7666.666666666667</v>
      </c>
    </row>
    <row r="58" spans="1:25" customFormat="1">
      <c r="A58" s="20" t="s">
        <v>74</v>
      </c>
      <c r="B58" s="63">
        <v>7</v>
      </c>
      <c r="C58" s="96">
        <v>43593</v>
      </c>
      <c r="D58" s="63" t="s">
        <v>121</v>
      </c>
      <c r="E58" s="63" t="s">
        <v>40</v>
      </c>
      <c r="F58" s="64">
        <f>'Tube wts'!F59</f>
        <v>0.98750000000000004</v>
      </c>
      <c r="G58" s="64">
        <f>'Tube wts'!G59</f>
        <v>1.022</v>
      </c>
      <c r="H58" s="63">
        <f>G58-F58</f>
        <v>3.4499999999999975E-2</v>
      </c>
      <c r="I58" s="63">
        <f>H58*9000</f>
        <v>310.49999999999977</v>
      </c>
      <c r="J58" s="26" t="s">
        <v>106</v>
      </c>
      <c r="K58" s="26" t="s">
        <v>106</v>
      </c>
      <c r="L58" s="64">
        <v>330</v>
      </c>
      <c r="M58" s="64">
        <v>89</v>
      </c>
      <c r="N58" s="64">
        <v>22</v>
      </c>
      <c r="O58" s="64">
        <v>2</v>
      </c>
      <c r="P58" s="64">
        <v>50</v>
      </c>
      <c r="Q58" s="64">
        <f>1/(P58/1000)</f>
        <v>20</v>
      </c>
      <c r="R58" s="39"/>
      <c r="S58" s="39"/>
      <c r="T58" s="39">
        <f t="shared" si="10"/>
        <v>6600000</v>
      </c>
      <c r="U58" s="39">
        <f>Q58 * (1/10^-4) *M58</f>
        <v>17800000</v>
      </c>
      <c r="V58" s="39">
        <f>Q58 * (1/10^-5) *N58</f>
        <v>43999999.999999993</v>
      </c>
      <c r="W58" s="39">
        <f>Q58 * (1/10^-6) *O58</f>
        <v>40000000</v>
      </c>
      <c r="X58" s="97"/>
      <c r="Y58" s="98">
        <f>AVERAGE(R58:W58)</f>
        <v>27100000</v>
      </c>
    </row>
    <row r="59" spans="1:25" customFormat="1">
      <c r="A59" s="60" t="s">
        <v>74</v>
      </c>
      <c r="B59" s="61">
        <v>7</v>
      </c>
      <c r="C59" s="62">
        <v>43593</v>
      </c>
      <c r="D59" s="61" t="s">
        <v>122</v>
      </c>
      <c r="E59" s="61" t="s">
        <v>41</v>
      </c>
      <c r="F59" s="64">
        <f>'Tube wts'!F60</f>
        <v>0.99350000000000005</v>
      </c>
      <c r="G59" s="64">
        <f>'Tube wts'!G60</f>
        <v>1.0158</v>
      </c>
      <c r="H59" s="61">
        <f t="shared" ref="H59:H65" si="47">G59-F59</f>
        <v>2.2299999999999986E-2</v>
      </c>
      <c r="I59" s="61">
        <f t="shared" si="1"/>
        <v>200.69999999999987</v>
      </c>
      <c r="J59" s="26" t="s">
        <v>106</v>
      </c>
      <c r="K59" s="26" t="s">
        <v>106</v>
      </c>
      <c r="L59" s="26" t="s">
        <v>59</v>
      </c>
      <c r="M59" s="26">
        <v>162</v>
      </c>
      <c r="N59" s="26">
        <v>41</v>
      </c>
      <c r="O59" s="26">
        <v>2</v>
      </c>
      <c r="P59" s="26">
        <v>50</v>
      </c>
      <c r="Q59" s="64">
        <f t="shared" si="2"/>
        <v>20</v>
      </c>
      <c r="R59" s="39"/>
      <c r="S59" s="39"/>
      <c r="T59" s="39"/>
      <c r="U59" s="39">
        <f t="shared" ref="U59:U65" si="48">Q59 * (1/10^-4) *M59</f>
        <v>32400000</v>
      </c>
      <c r="V59" s="39">
        <f t="shared" ref="V59:V64" si="49">Q59 * (1/10^-5) *N59</f>
        <v>81999999.999999985</v>
      </c>
      <c r="W59" s="39">
        <f t="shared" ref="W59" si="50">Q59 * (1/10^-6) *O59</f>
        <v>40000000</v>
      </c>
      <c r="X59" s="80"/>
      <c r="Y59" s="81">
        <f t="shared" ref="Y59:Y63" si="51">AVERAGE(R59:W59)</f>
        <v>51466666.666666664</v>
      </c>
    </row>
    <row r="60" spans="1:25" customFormat="1">
      <c r="A60" s="72" t="s">
        <v>28</v>
      </c>
      <c r="B60" s="73">
        <v>7</v>
      </c>
      <c r="C60" s="74">
        <v>43593</v>
      </c>
      <c r="D60" s="75" t="s">
        <v>123</v>
      </c>
      <c r="E60" s="75" t="s">
        <v>40</v>
      </c>
      <c r="F60" s="64">
        <f>'Tube wts'!F61</f>
        <v>0.97499999999999998</v>
      </c>
      <c r="G60" s="64">
        <f>'Tube wts'!G61</f>
        <v>0.98499999999999999</v>
      </c>
      <c r="H60" s="73">
        <f t="shared" si="47"/>
        <v>1.0000000000000009E-2</v>
      </c>
      <c r="I60" s="73">
        <f t="shared" si="1"/>
        <v>90.000000000000085</v>
      </c>
      <c r="J60" s="76">
        <v>0</v>
      </c>
      <c r="K60" s="76">
        <v>0</v>
      </c>
      <c r="L60" s="76" t="s">
        <v>106</v>
      </c>
      <c r="M60" s="76" t="s">
        <v>106</v>
      </c>
      <c r="N60" s="76" t="s">
        <v>106</v>
      </c>
      <c r="O60" s="76" t="s">
        <v>106</v>
      </c>
      <c r="P60" s="76">
        <v>50</v>
      </c>
      <c r="Q60" s="77">
        <f t="shared" si="2"/>
        <v>20</v>
      </c>
      <c r="R60" s="78">
        <f t="shared" ref="R60:R65" si="52">Q60 * (1/10^-1) *J60</f>
        <v>0</v>
      </c>
      <c r="S60" s="78">
        <f t="shared" ref="S60:S65" si="53">Q60 * (1/10^-2) *K60</f>
        <v>0</v>
      </c>
      <c r="T60" s="78"/>
      <c r="U60" s="78"/>
      <c r="V60" s="78"/>
      <c r="W60" s="78"/>
      <c r="X60" s="82"/>
      <c r="Y60" s="83">
        <f t="shared" si="51"/>
        <v>0</v>
      </c>
    </row>
    <row r="61" spans="1:25" customFormat="1">
      <c r="A61" s="72" t="s">
        <v>28</v>
      </c>
      <c r="B61" s="73">
        <v>7</v>
      </c>
      <c r="C61" s="74">
        <v>43593</v>
      </c>
      <c r="D61" s="75" t="s">
        <v>124</v>
      </c>
      <c r="E61" s="75" t="s">
        <v>41</v>
      </c>
      <c r="F61" s="64">
        <f>'Tube wts'!F62</f>
        <v>0.97450000000000003</v>
      </c>
      <c r="G61" s="64">
        <f>'Tube wts'!G62</f>
        <v>0.99890000000000001</v>
      </c>
      <c r="H61" s="73">
        <f t="shared" si="47"/>
        <v>2.4399999999999977E-2</v>
      </c>
      <c r="I61" s="73">
        <f t="shared" si="1"/>
        <v>219.5999999999998</v>
      </c>
      <c r="J61" s="76">
        <v>0</v>
      </c>
      <c r="K61" s="76">
        <v>0</v>
      </c>
      <c r="L61" s="76" t="s">
        <v>106</v>
      </c>
      <c r="M61" s="76" t="s">
        <v>106</v>
      </c>
      <c r="N61" s="76" t="s">
        <v>106</v>
      </c>
      <c r="O61" s="76" t="s">
        <v>106</v>
      </c>
      <c r="P61" s="76">
        <v>50</v>
      </c>
      <c r="Q61" s="77">
        <f t="shared" si="2"/>
        <v>20</v>
      </c>
      <c r="R61" s="78">
        <f t="shared" si="52"/>
        <v>0</v>
      </c>
      <c r="S61" s="78">
        <f t="shared" si="53"/>
        <v>0</v>
      </c>
      <c r="T61" s="78"/>
      <c r="U61" s="78"/>
      <c r="V61" s="78"/>
      <c r="W61" s="78"/>
      <c r="X61" s="82"/>
      <c r="Y61" s="83">
        <f t="shared" si="51"/>
        <v>0</v>
      </c>
    </row>
    <row r="62" spans="1:25" customFormat="1">
      <c r="A62" s="60" t="s">
        <v>83</v>
      </c>
      <c r="B62" s="61">
        <v>7</v>
      </c>
      <c r="C62" s="62">
        <v>43593</v>
      </c>
      <c r="D62" s="61" t="s">
        <v>125</v>
      </c>
      <c r="E62" s="61" t="s">
        <v>40</v>
      </c>
      <c r="F62" s="64">
        <f>'Tube wts'!F63</f>
        <v>0.98960000000000004</v>
      </c>
      <c r="G62" s="64">
        <f>'Tube wts'!G63</f>
        <v>1.0047999999999999</v>
      </c>
      <c r="H62" s="61">
        <f t="shared" si="47"/>
        <v>1.519999999999988E-2</v>
      </c>
      <c r="I62" s="61">
        <f t="shared" si="1"/>
        <v>136.79999999999893</v>
      </c>
      <c r="J62" s="26">
        <v>0</v>
      </c>
      <c r="K62" s="26">
        <v>0</v>
      </c>
      <c r="L62" s="76" t="s">
        <v>106</v>
      </c>
      <c r="M62" s="76" t="s">
        <v>106</v>
      </c>
      <c r="N62" s="76" t="s">
        <v>106</v>
      </c>
      <c r="O62" s="76" t="s">
        <v>106</v>
      </c>
      <c r="P62" s="26">
        <v>50</v>
      </c>
      <c r="Q62" s="64">
        <f t="shared" si="2"/>
        <v>20</v>
      </c>
      <c r="R62" s="39">
        <f t="shared" si="52"/>
        <v>0</v>
      </c>
      <c r="S62" s="39">
        <f t="shared" si="53"/>
        <v>0</v>
      </c>
      <c r="T62" s="39"/>
      <c r="U62" s="39"/>
      <c r="V62" s="39"/>
      <c r="W62" s="39"/>
      <c r="X62" s="80"/>
      <c r="Y62" s="81">
        <f t="shared" si="51"/>
        <v>0</v>
      </c>
    </row>
    <row r="63" spans="1:25" customFormat="1">
      <c r="A63" s="60" t="s">
        <v>83</v>
      </c>
      <c r="B63" s="61">
        <v>7</v>
      </c>
      <c r="C63" s="62">
        <v>43593</v>
      </c>
      <c r="D63" s="61" t="s">
        <v>126</v>
      </c>
      <c r="E63" s="61" t="s">
        <v>41</v>
      </c>
      <c r="F63" s="64">
        <f>'Tube wts'!F64</f>
        <v>0.97160000000000002</v>
      </c>
      <c r="G63" s="64">
        <f>'Tube wts'!G64</f>
        <v>0.99790000000000001</v>
      </c>
      <c r="H63" s="61">
        <f t="shared" si="47"/>
        <v>2.629999999999999E-2</v>
      </c>
      <c r="I63" s="61">
        <f t="shared" si="1"/>
        <v>236.6999999999999</v>
      </c>
      <c r="J63" s="26">
        <v>0</v>
      </c>
      <c r="K63" s="26">
        <v>0</v>
      </c>
      <c r="L63" s="76" t="s">
        <v>106</v>
      </c>
      <c r="M63" s="76" t="s">
        <v>106</v>
      </c>
      <c r="N63" s="76" t="s">
        <v>106</v>
      </c>
      <c r="O63" s="76" t="s">
        <v>106</v>
      </c>
      <c r="P63" s="26">
        <v>50</v>
      </c>
      <c r="Q63" s="64">
        <f t="shared" si="2"/>
        <v>20</v>
      </c>
      <c r="R63" s="39">
        <f t="shared" si="52"/>
        <v>0</v>
      </c>
      <c r="S63" s="39">
        <f t="shared" si="53"/>
        <v>0</v>
      </c>
      <c r="T63" s="39"/>
      <c r="U63" s="39"/>
      <c r="V63" s="39"/>
      <c r="W63" s="39"/>
      <c r="X63" s="80"/>
      <c r="Y63" s="81">
        <f t="shared" si="51"/>
        <v>0</v>
      </c>
    </row>
    <row r="64" spans="1:25" customFormat="1">
      <c r="A64" s="72" t="s">
        <v>8</v>
      </c>
      <c r="B64" s="73">
        <v>7</v>
      </c>
      <c r="C64" s="74">
        <v>43593</v>
      </c>
      <c r="D64" s="75" t="s">
        <v>127</v>
      </c>
      <c r="E64" s="75" t="s">
        <v>40</v>
      </c>
      <c r="F64" s="64">
        <f>'Tube wts'!F65</f>
        <v>0.98550000000000004</v>
      </c>
      <c r="G64" s="64">
        <f>'Tube wts'!G65</f>
        <v>1.0102</v>
      </c>
      <c r="H64" s="73">
        <f t="shared" si="47"/>
        <v>2.4699999999999944E-2</v>
      </c>
      <c r="I64" s="73">
        <f t="shared" si="1"/>
        <v>222.2999999999995</v>
      </c>
      <c r="J64" s="76">
        <v>1</v>
      </c>
      <c r="K64" s="76">
        <v>0</v>
      </c>
      <c r="L64" s="76">
        <v>0</v>
      </c>
      <c r="M64" s="76">
        <v>0</v>
      </c>
      <c r="N64" s="76">
        <v>0</v>
      </c>
      <c r="O64" s="76" t="s">
        <v>106</v>
      </c>
      <c r="P64" s="76">
        <v>50</v>
      </c>
      <c r="Q64" s="77">
        <f t="shared" si="2"/>
        <v>20</v>
      </c>
      <c r="R64" s="78">
        <f t="shared" si="52"/>
        <v>200</v>
      </c>
      <c r="S64" s="78">
        <f t="shared" si="53"/>
        <v>0</v>
      </c>
      <c r="T64" s="78">
        <f t="shared" si="10"/>
        <v>0</v>
      </c>
      <c r="U64" s="78">
        <f t="shared" si="48"/>
        <v>0</v>
      </c>
      <c r="V64" s="78">
        <f t="shared" si="49"/>
        <v>0</v>
      </c>
      <c r="W64" s="78"/>
      <c r="X64" s="82"/>
      <c r="Y64" s="83">
        <f>AVERAGE(R64)</f>
        <v>200</v>
      </c>
    </row>
    <row r="65" spans="1:25" customFormat="1" ht="17" thickBot="1">
      <c r="A65" s="84" t="s">
        <v>8</v>
      </c>
      <c r="B65" s="85">
        <v>7</v>
      </c>
      <c r="C65" s="86">
        <v>43593</v>
      </c>
      <c r="D65" s="87" t="s">
        <v>128</v>
      </c>
      <c r="E65" s="87" t="s">
        <v>41</v>
      </c>
      <c r="F65" s="64">
        <f>'Tube wts'!F66</f>
        <v>0.98160000000000003</v>
      </c>
      <c r="G65" s="64">
        <f>'Tube wts'!G66</f>
        <v>0.98980000000000001</v>
      </c>
      <c r="H65" s="85">
        <f t="shared" si="47"/>
        <v>8.1999999999999851E-3</v>
      </c>
      <c r="I65" s="85">
        <f t="shared" si="1"/>
        <v>73.799999999999869</v>
      </c>
      <c r="J65" s="89">
        <v>22</v>
      </c>
      <c r="K65" s="89">
        <v>8</v>
      </c>
      <c r="L65" s="89">
        <v>0</v>
      </c>
      <c r="M65" s="89">
        <v>0</v>
      </c>
      <c r="N65" s="89" t="s">
        <v>106</v>
      </c>
      <c r="O65" s="88" t="s">
        <v>106</v>
      </c>
      <c r="P65" s="88">
        <v>50</v>
      </c>
      <c r="Q65" s="90">
        <f t="shared" si="2"/>
        <v>20</v>
      </c>
      <c r="R65" s="91">
        <f t="shared" si="52"/>
        <v>4400</v>
      </c>
      <c r="S65" s="91">
        <f t="shared" si="53"/>
        <v>16000</v>
      </c>
      <c r="T65" s="91">
        <f t="shared" si="10"/>
        <v>0</v>
      </c>
      <c r="U65" s="91">
        <f t="shared" si="48"/>
        <v>0</v>
      </c>
      <c r="V65" s="91"/>
      <c r="W65" s="91"/>
      <c r="X65" s="92"/>
      <c r="Y65" s="93">
        <f>AVERAGE(R65:S65)</f>
        <v>10200</v>
      </c>
    </row>
    <row r="66" spans="1:25" customFormat="1">
      <c r="A66" s="20" t="s">
        <v>74</v>
      </c>
      <c r="B66" s="63">
        <v>8</v>
      </c>
      <c r="C66" s="96">
        <v>43594</v>
      </c>
      <c r="D66" s="63" t="s">
        <v>121</v>
      </c>
      <c r="E66" s="63" t="s">
        <v>40</v>
      </c>
      <c r="F66" s="64">
        <f>'Tube wts'!F67</f>
        <v>0.99</v>
      </c>
      <c r="G66" s="64">
        <f>'Tube wts'!G67</f>
        <v>1.0183</v>
      </c>
      <c r="H66" s="63">
        <f>G66-F66</f>
        <v>2.8299999999999992E-2</v>
      </c>
      <c r="I66" s="63">
        <f>H66*9000</f>
        <v>254.69999999999993</v>
      </c>
      <c r="J66" s="26" t="s">
        <v>106</v>
      </c>
      <c r="K66" s="26" t="s">
        <v>106</v>
      </c>
      <c r="L66" s="64" t="s">
        <v>59</v>
      </c>
      <c r="M66" s="64" t="s">
        <v>59</v>
      </c>
      <c r="N66" s="64">
        <v>20</v>
      </c>
      <c r="O66" s="64">
        <v>9</v>
      </c>
      <c r="P66" s="64">
        <v>50</v>
      </c>
      <c r="Q66" s="64">
        <f>1/(P66/1000)</f>
        <v>20</v>
      </c>
      <c r="R66" s="39"/>
      <c r="S66" s="39"/>
      <c r="T66" s="39"/>
      <c r="U66" s="39"/>
      <c r="V66" s="39">
        <f>Q66 * (1/10^-5) *N66</f>
        <v>39999999.999999993</v>
      </c>
      <c r="W66" s="39">
        <f>Q66 * (1/10^-6) *O66</f>
        <v>180000000</v>
      </c>
      <c r="X66" s="97"/>
      <c r="Y66" s="98">
        <f>AVERAGE(R66:W66)</f>
        <v>110000000</v>
      </c>
    </row>
    <row r="67" spans="1:25" customFormat="1">
      <c r="A67" s="60" t="s">
        <v>74</v>
      </c>
      <c r="B67" s="61">
        <v>8</v>
      </c>
      <c r="C67" s="62">
        <v>43594</v>
      </c>
      <c r="D67" s="61" t="s">
        <v>122</v>
      </c>
      <c r="E67" s="61" t="s">
        <v>41</v>
      </c>
      <c r="F67" s="64">
        <f>'Tube wts'!F68</f>
        <v>0.98929999999999996</v>
      </c>
      <c r="G67" s="64">
        <f>'Tube wts'!G68</f>
        <v>1.0086999999999999</v>
      </c>
      <c r="H67" s="61">
        <f t="shared" ref="H67:H73" si="54">G67-F67</f>
        <v>1.9399999999999973E-2</v>
      </c>
      <c r="I67" s="61">
        <f t="shared" si="1"/>
        <v>174.59999999999977</v>
      </c>
      <c r="J67" s="26" t="s">
        <v>106</v>
      </c>
      <c r="K67" s="26" t="s">
        <v>106</v>
      </c>
      <c r="L67" s="26" t="s">
        <v>59</v>
      </c>
      <c r="M67" s="26" t="s">
        <v>59</v>
      </c>
      <c r="N67" s="26">
        <v>66</v>
      </c>
      <c r="O67" s="26">
        <v>15</v>
      </c>
      <c r="P67" s="26">
        <v>50</v>
      </c>
      <c r="Q67" s="64">
        <f t="shared" si="2"/>
        <v>20</v>
      </c>
      <c r="R67" s="39"/>
      <c r="S67" s="39"/>
      <c r="T67" s="39"/>
      <c r="U67" s="39"/>
      <c r="V67" s="39">
        <f t="shared" ref="V67" si="55">Q67 * (1/10^-5) *N67</f>
        <v>131999999.99999999</v>
      </c>
      <c r="W67" s="39">
        <f t="shared" ref="W67" si="56">Q67 * (1/10^-6) *O67</f>
        <v>300000000</v>
      </c>
      <c r="X67" s="80"/>
      <c r="Y67" s="81">
        <f t="shared" ref="Y67:Y73" si="57">AVERAGE(R67:W67)</f>
        <v>216000000</v>
      </c>
    </row>
    <row r="68" spans="1:25" customFormat="1">
      <c r="A68" s="72" t="s">
        <v>28</v>
      </c>
      <c r="B68" s="73">
        <v>8</v>
      </c>
      <c r="C68" s="74">
        <v>43594</v>
      </c>
      <c r="D68" s="75" t="s">
        <v>123</v>
      </c>
      <c r="E68" s="75" t="s">
        <v>40</v>
      </c>
      <c r="F68" s="64">
        <f>'Tube wts'!F69</f>
        <v>0.96760000000000002</v>
      </c>
      <c r="G68" s="64">
        <f>'Tube wts'!G69</f>
        <v>0.98140000000000005</v>
      </c>
      <c r="H68" s="73">
        <f t="shared" si="54"/>
        <v>1.3800000000000034E-2</v>
      </c>
      <c r="I68" s="73">
        <f t="shared" ref="I68:I73" si="58">H68*9000</f>
        <v>124.20000000000032</v>
      </c>
      <c r="J68" s="76">
        <v>0</v>
      </c>
      <c r="K68" s="76">
        <v>0</v>
      </c>
      <c r="L68" s="76" t="s">
        <v>106</v>
      </c>
      <c r="M68" s="76" t="s">
        <v>106</v>
      </c>
      <c r="N68" s="76" t="s">
        <v>106</v>
      </c>
      <c r="O68" s="76" t="s">
        <v>106</v>
      </c>
      <c r="P68" s="76">
        <v>50</v>
      </c>
      <c r="Q68" s="77">
        <f t="shared" ref="Q68:Q73" si="59">1/(P68/1000)</f>
        <v>20</v>
      </c>
      <c r="R68" s="78">
        <f t="shared" ref="R68:R73" si="60">Q68 * (1/10^-1) *J68</f>
        <v>0</v>
      </c>
      <c r="S68" s="78">
        <f t="shared" ref="S68:S73" si="61">Q68 * (1/10^-2) *K68</f>
        <v>0</v>
      </c>
      <c r="T68" s="78"/>
      <c r="U68" s="78"/>
      <c r="V68" s="78"/>
      <c r="W68" s="78"/>
      <c r="X68" s="82"/>
      <c r="Y68" s="83">
        <f t="shared" si="57"/>
        <v>0</v>
      </c>
    </row>
    <row r="69" spans="1:25" customFormat="1">
      <c r="A69" s="72" t="s">
        <v>28</v>
      </c>
      <c r="B69" s="73">
        <v>8</v>
      </c>
      <c r="C69" s="74">
        <v>43594</v>
      </c>
      <c r="D69" s="75" t="s">
        <v>124</v>
      </c>
      <c r="E69" s="75" t="s">
        <v>41</v>
      </c>
      <c r="F69" s="64">
        <f>'Tube wts'!F70</f>
        <v>0.98209999999999997</v>
      </c>
      <c r="G69" s="64">
        <f>'Tube wts'!G70</f>
        <v>1.0119</v>
      </c>
      <c r="H69" s="73">
        <f t="shared" si="54"/>
        <v>2.9800000000000049E-2</v>
      </c>
      <c r="I69" s="73">
        <f t="shared" si="58"/>
        <v>268.20000000000044</v>
      </c>
      <c r="J69" s="76">
        <v>0</v>
      </c>
      <c r="K69" s="76">
        <v>0</v>
      </c>
      <c r="L69" s="76" t="s">
        <v>106</v>
      </c>
      <c r="M69" s="76" t="s">
        <v>106</v>
      </c>
      <c r="N69" s="76" t="s">
        <v>106</v>
      </c>
      <c r="O69" s="76" t="s">
        <v>106</v>
      </c>
      <c r="P69" s="76">
        <v>50</v>
      </c>
      <c r="Q69" s="77">
        <f t="shared" si="59"/>
        <v>20</v>
      </c>
      <c r="R69" s="78">
        <f t="shared" si="60"/>
        <v>0</v>
      </c>
      <c r="S69" s="78">
        <f t="shared" si="61"/>
        <v>0</v>
      </c>
      <c r="T69" s="78"/>
      <c r="U69" s="78"/>
      <c r="V69" s="78"/>
      <c r="W69" s="78"/>
      <c r="X69" s="82"/>
      <c r="Y69" s="83">
        <f t="shared" si="57"/>
        <v>0</v>
      </c>
    </row>
    <row r="70" spans="1:25" customFormat="1">
      <c r="A70" s="60" t="s">
        <v>83</v>
      </c>
      <c r="B70" s="61">
        <v>8</v>
      </c>
      <c r="C70" s="62">
        <v>43594</v>
      </c>
      <c r="D70" s="61" t="s">
        <v>125</v>
      </c>
      <c r="E70" s="61" t="s">
        <v>40</v>
      </c>
      <c r="F70" s="64">
        <f>'Tube wts'!F71</f>
        <v>0.99480000000000002</v>
      </c>
      <c r="G70" s="64">
        <f>'Tube wts'!G71</f>
        <v>1.0223</v>
      </c>
      <c r="H70" s="61">
        <f t="shared" si="54"/>
        <v>2.7499999999999969E-2</v>
      </c>
      <c r="I70" s="61">
        <f t="shared" si="58"/>
        <v>247.49999999999972</v>
      </c>
      <c r="J70" s="26">
        <v>0</v>
      </c>
      <c r="K70" s="26">
        <v>0</v>
      </c>
      <c r="L70" s="76" t="s">
        <v>106</v>
      </c>
      <c r="M70" s="76" t="s">
        <v>106</v>
      </c>
      <c r="N70" s="76" t="s">
        <v>106</v>
      </c>
      <c r="O70" s="76" t="s">
        <v>106</v>
      </c>
      <c r="P70" s="26">
        <v>50</v>
      </c>
      <c r="Q70" s="64">
        <f t="shared" si="59"/>
        <v>20</v>
      </c>
      <c r="R70" s="39">
        <f t="shared" si="60"/>
        <v>0</v>
      </c>
      <c r="S70" s="39">
        <f t="shared" si="61"/>
        <v>0</v>
      </c>
      <c r="T70" s="39"/>
      <c r="U70" s="39"/>
      <c r="V70" s="39"/>
      <c r="W70" s="39"/>
      <c r="X70" s="80"/>
      <c r="Y70" s="81">
        <f t="shared" si="57"/>
        <v>0</v>
      </c>
    </row>
    <row r="71" spans="1:25" customFormat="1">
      <c r="A71" s="60" t="s">
        <v>83</v>
      </c>
      <c r="B71" s="61">
        <v>8</v>
      </c>
      <c r="C71" s="62">
        <v>43594</v>
      </c>
      <c r="D71" s="61" t="s">
        <v>126</v>
      </c>
      <c r="E71" s="61" t="s">
        <v>41</v>
      </c>
      <c r="F71" s="64">
        <f>'Tube wts'!F72</f>
        <v>0.97599999999999998</v>
      </c>
      <c r="G71" s="64">
        <f>'Tube wts'!G72</f>
        <v>1.002</v>
      </c>
      <c r="H71" s="61">
        <f t="shared" si="54"/>
        <v>2.6000000000000023E-2</v>
      </c>
      <c r="I71" s="61">
        <f t="shared" si="58"/>
        <v>234.0000000000002</v>
      </c>
      <c r="J71" s="26">
        <v>0</v>
      </c>
      <c r="K71" s="26">
        <v>0</v>
      </c>
      <c r="L71" s="76" t="s">
        <v>106</v>
      </c>
      <c r="M71" s="76" t="s">
        <v>106</v>
      </c>
      <c r="N71" s="76" t="s">
        <v>106</v>
      </c>
      <c r="O71" s="76" t="s">
        <v>106</v>
      </c>
      <c r="P71" s="26">
        <v>50</v>
      </c>
      <c r="Q71" s="64">
        <f t="shared" si="59"/>
        <v>20</v>
      </c>
      <c r="R71" s="39">
        <f t="shared" si="60"/>
        <v>0</v>
      </c>
      <c r="S71" s="39">
        <f t="shared" si="61"/>
        <v>0</v>
      </c>
      <c r="T71" s="39"/>
      <c r="U71" s="39"/>
      <c r="V71" s="39"/>
      <c r="W71" s="39"/>
      <c r="X71" s="80"/>
      <c r="Y71" s="81">
        <f t="shared" si="57"/>
        <v>0</v>
      </c>
    </row>
    <row r="72" spans="1:25" customFormat="1">
      <c r="A72" s="72" t="s">
        <v>8</v>
      </c>
      <c r="B72" s="73">
        <v>8</v>
      </c>
      <c r="C72" s="74">
        <v>43594</v>
      </c>
      <c r="D72" s="75" t="s">
        <v>127</v>
      </c>
      <c r="E72" s="75" t="s">
        <v>40</v>
      </c>
      <c r="F72" s="64">
        <f>'Tube wts'!F73</f>
        <v>0.99</v>
      </c>
      <c r="G72" s="64">
        <f>'Tube wts'!G73</f>
        <v>1.0205</v>
      </c>
      <c r="H72" s="73">
        <f t="shared" si="54"/>
        <v>3.0499999999999972E-2</v>
      </c>
      <c r="I72" s="73">
        <f t="shared" si="58"/>
        <v>274.49999999999977</v>
      </c>
      <c r="J72" s="76">
        <v>0</v>
      </c>
      <c r="K72" s="76">
        <v>0</v>
      </c>
      <c r="L72" s="76" t="s">
        <v>106</v>
      </c>
      <c r="M72" s="76" t="s">
        <v>106</v>
      </c>
      <c r="N72" s="76" t="s">
        <v>106</v>
      </c>
      <c r="O72" s="76" t="s">
        <v>106</v>
      </c>
      <c r="P72" s="76">
        <v>50</v>
      </c>
      <c r="Q72" s="77">
        <f t="shared" si="59"/>
        <v>20</v>
      </c>
      <c r="R72" s="78">
        <f t="shared" si="60"/>
        <v>0</v>
      </c>
      <c r="S72" s="78">
        <f t="shared" si="61"/>
        <v>0</v>
      </c>
      <c r="T72" s="78"/>
      <c r="U72" s="78"/>
      <c r="V72" s="78"/>
      <c r="W72" s="78"/>
      <c r="X72" s="82"/>
      <c r="Y72" s="83">
        <f t="shared" si="57"/>
        <v>0</v>
      </c>
    </row>
    <row r="73" spans="1:25" customFormat="1" ht="17" thickBot="1">
      <c r="A73" s="84" t="s">
        <v>8</v>
      </c>
      <c r="B73" s="85">
        <v>8</v>
      </c>
      <c r="C73" s="86">
        <v>43594</v>
      </c>
      <c r="D73" s="87" t="s">
        <v>128</v>
      </c>
      <c r="E73" s="87" t="s">
        <v>41</v>
      </c>
      <c r="F73" s="64">
        <f>'Tube wts'!F74</f>
        <v>0.98129999999999995</v>
      </c>
      <c r="G73" s="64">
        <f>'Tube wts'!G74</f>
        <v>0.99919999999999998</v>
      </c>
      <c r="H73" s="85">
        <f t="shared" si="54"/>
        <v>1.7900000000000027E-2</v>
      </c>
      <c r="I73" s="85">
        <f t="shared" si="58"/>
        <v>161.10000000000025</v>
      </c>
      <c r="J73" s="89">
        <v>0</v>
      </c>
      <c r="K73" s="89">
        <v>0</v>
      </c>
      <c r="L73" s="76" t="s">
        <v>106</v>
      </c>
      <c r="M73" s="76" t="s">
        <v>106</v>
      </c>
      <c r="N73" s="76" t="s">
        <v>106</v>
      </c>
      <c r="O73" s="76" t="s">
        <v>106</v>
      </c>
      <c r="P73" s="88">
        <v>50</v>
      </c>
      <c r="Q73" s="90">
        <f t="shared" si="59"/>
        <v>20</v>
      </c>
      <c r="R73" s="91">
        <f t="shared" si="60"/>
        <v>0</v>
      </c>
      <c r="S73" s="91">
        <f t="shared" si="61"/>
        <v>0</v>
      </c>
      <c r="T73" s="91"/>
      <c r="U73" s="91"/>
      <c r="V73" s="91"/>
      <c r="W73" s="91"/>
      <c r="X73" s="92"/>
      <c r="Y73" s="93">
        <f t="shared" si="57"/>
        <v>0</v>
      </c>
    </row>
    <row r="74" spans="1:25" customFormat="1">
      <c r="A74" s="20" t="s">
        <v>74</v>
      </c>
      <c r="B74" s="63">
        <v>9</v>
      </c>
      <c r="C74" s="96">
        <v>43595</v>
      </c>
      <c r="D74" s="63" t="s">
        <v>121</v>
      </c>
      <c r="E74" s="63" t="s">
        <v>40</v>
      </c>
      <c r="F74" s="64">
        <f>'Tube wts'!F75</f>
        <v>0.9677</v>
      </c>
      <c r="G74" s="64">
        <f>'Tube wts'!G75</f>
        <v>0.99760000000000004</v>
      </c>
      <c r="H74" s="63">
        <f>G74-F74</f>
        <v>2.9900000000000038E-2</v>
      </c>
      <c r="I74" s="63">
        <f>H74*9000</f>
        <v>269.10000000000036</v>
      </c>
      <c r="J74" s="26" t="s">
        <v>106</v>
      </c>
      <c r="K74" s="26" t="s">
        <v>106</v>
      </c>
      <c r="L74" s="64" t="s">
        <v>59</v>
      </c>
      <c r="M74" s="64" t="s">
        <v>59</v>
      </c>
      <c r="N74" s="64">
        <v>14</v>
      </c>
      <c r="O74" s="64">
        <v>1</v>
      </c>
      <c r="P74" s="64">
        <v>50</v>
      </c>
      <c r="Q74" s="64">
        <f>1/(P74/1000)</f>
        <v>20</v>
      </c>
      <c r="R74" s="39"/>
      <c r="S74" s="39"/>
      <c r="T74" s="39"/>
      <c r="U74" s="39"/>
      <c r="V74" s="39">
        <f>Q74 * (1/10^-5) *N74</f>
        <v>27999999.999999996</v>
      </c>
      <c r="W74" s="39">
        <f>Q74 * (1/10^-6) *O74</f>
        <v>20000000</v>
      </c>
      <c r="X74" s="97"/>
      <c r="Y74" s="98">
        <f>AVERAGE(R74:W74)</f>
        <v>24000000</v>
      </c>
    </row>
    <row r="75" spans="1:25" customFormat="1">
      <c r="A75" s="60" t="s">
        <v>74</v>
      </c>
      <c r="B75" s="61">
        <v>9</v>
      </c>
      <c r="C75" s="62">
        <v>43595</v>
      </c>
      <c r="D75" s="61" t="s">
        <v>122</v>
      </c>
      <c r="E75" s="61" t="s">
        <v>41</v>
      </c>
      <c r="F75" s="64">
        <f>'Tube wts'!F76</f>
        <v>0.98960000000000004</v>
      </c>
      <c r="G75" s="64">
        <f>'Tube wts'!G76</f>
        <v>1.0173000000000001</v>
      </c>
      <c r="H75" s="61">
        <f t="shared" ref="H75:H81" si="62">G75-F75</f>
        <v>2.7700000000000058E-2</v>
      </c>
      <c r="I75" s="61">
        <f t="shared" ref="I75:I81" si="63">H75*9000</f>
        <v>249.30000000000052</v>
      </c>
      <c r="J75" s="26" t="s">
        <v>106</v>
      </c>
      <c r="K75" s="26" t="s">
        <v>106</v>
      </c>
      <c r="L75" s="26" t="s">
        <v>59</v>
      </c>
      <c r="M75" s="26" t="s">
        <v>59</v>
      </c>
      <c r="N75" s="26">
        <v>35</v>
      </c>
      <c r="O75" s="26">
        <v>2</v>
      </c>
      <c r="P75" s="26">
        <v>50</v>
      </c>
      <c r="Q75" s="64">
        <f t="shared" ref="Q75:Q81" si="64">1/(P75/1000)</f>
        <v>20</v>
      </c>
      <c r="R75" s="39"/>
      <c r="S75" s="39"/>
      <c r="T75" s="39"/>
      <c r="U75" s="39"/>
      <c r="V75" s="39">
        <f t="shared" ref="V75" si="65">Q75 * (1/10^-5) *N75</f>
        <v>69999999.999999985</v>
      </c>
      <c r="W75" s="39">
        <f t="shared" ref="W75" si="66">Q75 * (1/10^-6) *O75</f>
        <v>40000000</v>
      </c>
      <c r="X75" s="80"/>
      <c r="Y75" s="81">
        <f t="shared" ref="Y75:Y81" si="67">AVERAGE(R75:W75)</f>
        <v>54999999.999999993</v>
      </c>
    </row>
    <row r="76" spans="1:25" customFormat="1">
      <c r="A76" s="72" t="s">
        <v>28</v>
      </c>
      <c r="B76" s="73">
        <v>9</v>
      </c>
      <c r="C76" s="74">
        <v>43595</v>
      </c>
      <c r="D76" s="75" t="s">
        <v>123</v>
      </c>
      <c r="E76" s="75" t="s">
        <v>40</v>
      </c>
      <c r="F76" s="64">
        <f>'Tube wts'!F77</f>
        <v>0.97399999999999998</v>
      </c>
      <c r="G76" s="64">
        <f>'Tube wts'!G77</f>
        <v>1.0168999999999999</v>
      </c>
      <c r="H76" s="73">
        <f t="shared" si="62"/>
        <v>4.2899999999999938E-2</v>
      </c>
      <c r="I76" s="73">
        <f t="shared" si="63"/>
        <v>386.09999999999945</v>
      </c>
      <c r="J76" s="76">
        <v>0</v>
      </c>
      <c r="K76" s="76">
        <v>0</v>
      </c>
      <c r="L76" s="76" t="s">
        <v>106</v>
      </c>
      <c r="M76" s="76" t="s">
        <v>106</v>
      </c>
      <c r="N76" s="76" t="s">
        <v>106</v>
      </c>
      <c r="O76" s="76" t="s">
        <v>106</v>
      </c>
      <c r="P76" s="76">
        <v>50</v>
      </c>
      <c r="Q76" s="77">
        <f t="shared" si="64"/>
        <v>20</v>
      </c>
      <c r="R76" s="78">
        <f t="shared" ref="R76:R81" si="68">Q76 * (1/10^-1) *J76</f>
        <v>0</v>
      </c>
      <c r="S76" s="78">
        <f t="shared" ref="S76:S81" si="69">Q76 * (1/10^-2) *K76</f>
        <v>0</v>
      </c>
      <c r="T76" s="78"/>
      <c r="U76" s="78"/>
      <c r="V76" s="78"/>
      <c r="W76" s="78"/>
      <c r="X76" s="82"/>
      <c r="Y76" s="83">
        <f t="shared" si="67"/>
        <v>0</v>
      </c>
    </row>
    <row r="77" spans="1:25" customFormat="1">
      <c r="A77" s="72" t="s">
        <v>28</v>
      </c>
      <c r="B77" s="73">
        <v>9</v>
      </c>
      <c r="C77" s="74">
        <v>43595</v>
      </c>
      <c r="D77" s="75" t="s">
        <v>124</v>
      </c>
      <c r="E77" s="75" t="s">
        <v>41</v>
      </c>
      <c r="F77" s="64">
        <f>'Tube wts'!F78</f>
        <v>0.9758</v>
      </c>
      <c r="G77" s="64">
        <f>'Tube wts'!G78</f>
        <v>1.0139</v>
      </c>
      <c r="H77" s="73">
        <f t="shared" si="62"/>
        <v>3.8100000000000023E-2</v>
      </c>
      <c r="I77" s="73">
        <f t="shared" si="63"/>
        <v>342.9000000000002</v>
      </c>
      <c r="J77" s="76">
        <v>0</v>
      </c>
      <c r="K77" s="76">
        <v>0</v>
      </c>
      <c r="L77" s="76" t="s">
        <v>106</v>
      </c>
      <c r="M77" s="76" t="s">
        <v>106</v>
      </c>
      <c r="N77" s="76" t="s">
        <v>106</v>
      </c>
      <c r="O77" s="76" t="s">
        <v>106</v>
      </c>
      <c r="P77" s="76">
        <v>50</v>
      </c>
      <c r="Q77" s="77">
        <f t="shared" si="64"/>
        <v>20</v>
      </c>
      <c r="R77" s="78">
        <f t="shared" si="68"/>
        <v>0</v>
      </c>
      <c r="S77" s="78">
        <f t="shared" si="69"/>
        <v>0</v>
      </c>
      <c r="T77" s="78"/>
      <c r="U77" s="78"/>
      <c r="V77" s="78"/>
      <c r="W77" s="78"/>
      <c r="X77" s="82"/>
      <c r="Y77" s="83">
        <f t="shared" si="67"/>
        <v>0</v>
      </c>
    </row>
    <row r="78" spans="1:25" customFormat="1">
      <c r="A78" s="60" t="s">
        <v>83</v>
      </c>
      <c r="B78" s="61">
        <v>9</v>
      </c>
      <c r="C78" s="62">
        <v>43595</v>
      </c>
      <c r="D78" s="61" t="s">
        <v>125</v>
      </c>
      <c r="E78" s="61" t="s">
        <v>40</v>
      </c>
      <c r="F78" s="64">
        <f>'Tube wts'!F79</f>
        <v>0.99399999999999999</v>
      </c>
      <c r="G78" s="64">
        <f>'Tube wts'!G79</f>
        <v>1.0053000000000001</v>
      </c>
      <c r="H78" s="61">
        <f t="shared" si="62"/>
        <v>1.1300000000000088E-2</v>
      </c>
      <c r="I78" s="61">
        <f t="shared" si="63"/>
        <v>101.70000000000078</v>
      </c>
      <c r="J78" s="26">
        <v>0</v>
      </c>
      <c r="K78" s="76">
        <v>0</v>
      </c>
      <c r="L78" s="76" t="s">
        <v>106</v>
      </c>
      <c r="M78" s="76" t="s">
        <v>106</v>
      </c>
      <c r="N78" s="76" t="s">
        <v>106</v>
      </c>
      <c r="O78" s="76" t="s">
        <v>106</v>
      </c>
      <c r="P78" s="26">
        <v>50</v>
      </c>
      <c r="Q78" s="64">
        <f t="shared" si="64"/>
        <v>20</v>
      </c>
      <c r="R78" s="39">
        <f t="shared" si="68"/>
        <v>0</v>
      </c>
      <c r="S78" s="39">
        <f t="shared" si="69"/>
        <v>0</v>
      </c>
      <c r="T78" s="39"/>
      <c r="U78" s="39"/>
      <c r="V78" s="39"/>
      <c r="W78" s="39"/>
      <c r="X78" s="80"/>
      <c r="Y78" s="81">
        <f t="shared" si="67"/>
        <v>0</v>
      </c>
    </row>
    <row r="79" spans="1:25" customFormat="1">
      <c r="A79" s="60" t="s">
        <v>83</v>
      </c>
      <c r="B79" s="61">
        <v>9</v>
      </c>
      <c r="C79" s="62">
        <v>43595</v>
      </c>
      <c r="D79" s="61" t="s">
        <v>126</v>
      </c>
      <c r="E79" s="61" t="s">
        <v>41</v>
      </c>
      <c r="F79" s="64">
        <f>'Tube wts'!F80</f>
        <v>0.96840000000000004</v>
      </c>
      <c r="G79" s="64">
        <f>'Tube wts'!G80</f>
        <v>0.9929</v>
      </c>
      <c r="H79" s="61">
        <f t="shared" si="62"/>
        <v>2.4499999999999966E-2</v>
      </c>
      <c r="I79" s="61">
        <f t="shared" si="63"/>
        <v>220.49999999999969</v>
      </c>
      <c r="J79" s="26">
        <v>0</v>
      </c>
      <c r="K79" s="76">
        <v>0</v>
      </c>
      <c r="L79" s="76" t="s">
        <v>106</v>
      </c>
      <c r="M79" s="76" t="s">
        <v>106</v>
      </c>
      <c r="N79" s="76" t="s">
        <v>106</v>
      </c>
      <c r="O79" s="76" t="s">
        <v>106</v>
      </c>
      <c r="P79" s="26">
        <v>50</v>
      </c>
      <c r="Q79" s="64">
        <f t="shared" si="64"/>
        <v>20</v>
      </c>
      <c r="R79" s="39">
        <f t="shared" si="68"/>
        <v>0</v>
      </c>
      <c r="S79" s="39">
        <f t="shared" si="69"/>
        <v>0</v>
      </c>
      <c r="T79" s="39"/>
      <c r="U79" s="39"/>
      <c r="V79" s="39"/>
      <c r="W79" s="39"/>
      <c r="X79" s="80"/>
      <c r="Y79" s="81">
        <f t="shared" si="67"/>
        <v>0</v>
      </c>
    </row>
    <row r="80" spans="1:25" customFormat="1">
      <c r="A80" s="72" t="s">
        <v>8</v>
      </c>
      <c r="B80" s="73">
        <v>9</v>
      </c>
      <c r="C80" s="74">
        <v>43595</v>
      </c>
      <c r="D80" s="75" t="s">
        <v>127</v>
      </c>
      <c r="E80" s="75" t="s">
        <v>40</v>
      </c>
      <c r="F80" s="64">
        <f>'Tube wts'!F81</f>
        <v>0.9899</v>
      </c>
      <c r="G80" s="64">
        <f>'Tube wts'!G81</f>
        <v>1.0163</v>
      </c>
      <c r="H80" s="73">
        <f t="shared" si="62"/>
        <v>2.6399999999999979E-2</v>
      </c>
      <c r="I80" s="73">
        <f t="shared" si="63"/>
        <v>237.59999999999982</v>
      </c>
      <c r="J80" s="76">
        <v>0</v>
      </c>
      <c r="K80" s="76">
        <v>0</v>
      </c>
      <c r="L80" s="76" t="s">
        <v>106</v>
      </c>
      <c r="M80" s="76" t="s">
        <v>106</v>
      </c>
      <c r="N80" s="76" t="s">
        <v>106</v>
      </c>
      <c r="O80" s="76" t="s">
        <v>106</v>
      </c>
      <c r="P80" s="76">
        <v>50</v>
      </c>
      <c r="Q80" s="77">
        <f t="shared" si="64"/>
        <v>20</v>
      </c>
      <c r="R80" s="78">
        <f t="shared" si="68"/>
        <v>0</v>
      </c>
      <c r="S80" s="78">
        <f t="shared" si="69"/>
        <v>0</v>
      </c>
      <c r="T80" s="78"/>
      <c r="U80" s="78"/>
      <c r="V80" s="78"/>
      <c r="W80" s="78"/>
      <c r="X80" s="82"/>
      <c r="Y80" s="83">
        <f t="shared" si="67"/>
        <v>0</v>
      </c>
    </row>
    <row r="81" spans="1:25" customFormat="1" ht="17" thickBot="1">
      <c r="A81" s="84" t="s">
        <v>8</v>
      </c>
      <c r="B81" s="85">
        <v>9</v>
      </c>
      <c r="C81" s="86">
        <v>43595</v>
      </c>
      <c r="D81" s="87" t="s">
        <v>128</v>
      </c>
      <c r="E81" s="87" t="s">
        <v>41</v>
      </c>
      <c r="F81" s="64">
        <f>'Tube wts'!F82</f>
        <v>0.9758</v>
      </c>
      <c r="G81" s="64">
        <f>'Tube wts'!G82</f>
        <v>0.99819999999999998</v>
      </c>
      <c r="H81" s="85">
        <f t="shared" si="62"/>
        <v>2.2399999999999975E-2</v>
      </c>
      <c r="I81" s="85">
        <f t="shared" si="63"/>
        <v>201.59999999999977</v>
      </c>
      <c r="J81" s="89">
        <v>0</v>
      </c>
      <c r="K81" s="76">
        <v>0</v>
      </c>
      <c r="L81" s="76" t="s">
        <v>106</v>
      </c>
      <c r="M81" s="76" t="s">
        <v>106</v>
      </c>
      <c r="N81" s="76" t="s">
        <v>106</v>
      </c>
      <c r="O81" s="76" t="s">
        <v>106</v>
      </c>
      <c r="P81" s="88">
        <v>50</v>
      </c>
      <c r="Q81" s="90">
        <f t="shared" si="64"/>
        <v>20</v>
      </c>
      <c r="R81" s="91">
        <f t="shared" si="68"/>
        <v>0</v>
      </c>
      <c r="S81" s="91">
        <f t="shared" si="69"/>
        <v>0</v>
      </c>
      <c r="T81" s="91"/>
      <c r="U81" s="91"/>
      <c r="V81" s="91"/>
      <c r="W81" s="91"/>
      <c r="X81" s="92"/>
      <c r="Y81" s="93">
        <f t="shared" si="67"/>
        <v>0</v>
      </c>
    </row>
    <row r="82" spans="1:25" customFormat="1">
      <c r="A82" s="20" t="s">
        <v>74</v>
      </c>
      <c r="B82" s="63">
        <v>10</v>
      </c>
      <c r="C82" s="96">
        <v>43596</v>
      </c>
      <c r="D82" s="63" t="s">
        <v>121</v>
      </c>
      <c r="E82" s="63" t="s">
        <v>40</v>
      </c>
      <c r="F82" s="64">
        <f>'Tube wts'!F83</f>
        <v>0.97689999999999999</v>
      </c>
      <c r="G82" s="64">
        <f>'Tube wts'!G83</f>
        <v>1.0049999999999999</v>
      </c>
      <c r="H82" s="63">
        <f>G82-F82</f>
        <v>2.8099999999999903E-2</v>
      </c>
      <c r="I82" s="63">
        <f>H82*9000</f>
        <v>252.89999999999912</v>
      </c>
      <c r="J82" s="26" t="s">
        <v>106</v>
      </c>
      <c r="K82" s="26" t="s">
        <v>106</v>
      </c>
      <c r="L82" s="64" t="s">
        <v>59</v>
      </c>
      <c r="M82" s="64" t="s">
        <v>59</v>
      </c>
      <c r="N82" s="64">
        <v>43</v>
      </c>
      <c r="O82" s="64">
        <v>6</v>
      </c>
      <c r="P82" s="64">
        <v>50</v>
      </c>
      <c r="Q82" s="64">
        <f>1/(P82/1000)</f>
        <v>20</v>
      </c>
      <c r="R82" s="39"/>
      <c r="S82" s="39"/>
      <c r="T82" s="39"/>
      <c r="U82" s="39"/>
      <c r="V82" s="39">
        <f>Q82 * (1/10^-5) *N82</f>
        <v>85999999.999999985</v>
      </c>
      <c r="W82" s="39">
        <f>Q82 * (1/10^-6) *O82</f>
        <v>120000000</v>
      </c>
      <c r="X82" s="97"/>
      <c r="Y82" s="98">
        <f>AVERAGE(R82:W82)</f>
        <v>103000000</v>
      </c>
    </row>
    <row r="83" spans="1:25" customFormat="1">
      <c r="A83" s="60" t="s">
        <v>74</v>
      </c>
      <c r="B83" s="61">
        <v>10</v>
      </c>
      <c r="C83" s="62">
        <v>43596</v>
      </c>
      <c r="D83" s="61" t="s">
        <v>122</v>
      </c>
      <c r="E83" s="61" t="s">
        <v>41</v>
      </c>
      <c r="F83" s="64">
        <f>'Tube wts'!F84</f>
        <v>0.98850000000000005</v>
      </c>
      <c r="G83" s="64">
        <f>'Tube wts'!G84</f>
        <v>1.0089999999999999</v>
      </c>
      <c r="H83" s="61">
        <f t="shared" ref="H83:H89" si="70">G83-F83</f>
        <v>2.0499999999999852E-2</v>
      </c>
      <c r="I83" s="61">
        <f t="shared" ref="I83:I89" si="71">H83*9000</f>
        <v>184.49999999999866</v>
      </c>
      <c r="J83" s="26" t="s">
        <v>106</v>
      </c>
      <c r="K83" s="26" t="s">
        <v>106</v>
      </c>
      <c r="L83" s="26" t="s">
        <v>59</v>
      </c>
      <c r="M83" s="26" t="s">
        <v>59</v>
      </c>
      <c r="N83" s="26">
        <v>27</v>
      </c>
      <c r="O83" s="26">
        <v>9</v>
      </c>
      <c r="P83" s="26">
        <v>50</v>
      </c>
      <c r="Q83" s="64">
        <f t="shared" ref="Q83:Q89" si="72">1/(P83/1000)</f>
        <v>20</v>
      </c>
      <c r="R83" s="39"/>
      <c r="S83" s="39"/>
      <c r="T83" s="39"/>
      <c r="U83" s="39"/>
      <c r="V83" s="39">
        <f t="shared" ref="V83" si="73">Q83 * (1/10^-5) *N83</f>
        <v>53999999.999999993</v>
      </c>
      <c r="W83" s="39">
        <f t="shared" ref="W83" si="74">Q83 * (1/10^-6) *O83</f>
        <v>180000000</v>
      </c>
      <c r="X83" s="80"/>
      <c r="Y83" s="81">
        <f t="shared" ref="Y83:Y89" si="75">AVERAGE(R83:W83)</f>
        <v>117000000</v>
      </c>
    </row>
    <row r="84" spans="1:25" customFormat="1">
      <c r="A84" s="72" t="s">
        <v>28</v>
      </c>
      <c r="B84" s="73">
        <v>10</v>
      </c>
      <c r="C84" s="74">
        <v>43596</v>
      </c>
      <c r="D84" s="75" t="s">
        <v>123</v>
      </c>
      <c r="E84" s="75" t="s">
        <v>40</v>
      </c>
      <c r="F84" s="64">
        <f>'Tube wts'!F85</f>
        <v>0.97109999999999996</v>
      </c>
      <c r="G84" s="64">
        <f>'Tube wts'!G85</f>
        <v>0.98240000000000005</v>
      </c>
      <c r="H84" s="73">
        <f t="shared" si="70"/>
        <v>1.1300000000000088E-2</v>
      </c>
      <c r="I84" s="73">
        <f t="shared" si="71"/>
        <v>101.70000000000078</v>
      </c>
      <c r="J84" s="76">
        <v>0</v>
      </c>
      <c r="K84" s="76" t="s">
        <v>106</v>
      </c>
      <c r="L84" s="76" t="s">
        <v>106</v>
      </c>
      <c r="M84" s="76" t="s">
        <v>106</v>
      </c>
      <c r="N84" s="76" t="s">
        <v>106</v>
      </c>
      <c r="O84" s="76" t="s">
        <v>106</v>
      </c>
      <c r="P84" s="76">
        <v>50</v>
      </c>
      <c r="Q84" s="77">
        <f t="shared" si="72"/>
        <v>20</v>
      </c>
      <c r="R84" s="78">
        <f t="shared" ref="R84:R89" si="76">Q84 * (1/10^-1) *J84</f>
        <v>0</v>
      </c>
      <c r="S84" s="78"/>
      <c r="T84" s="78"/>
      <c r="U84" s="78"/>
      <c r="V84" s="78"/>
      <c r="W84" s="78"/>
      <c r="X84" s="82"/>
      <c r="Y84" s="83">
        <f t="shared" si="75"/>
        <v>0</v>
      </c>
    </row>
    <row r="85" spans="1:25" customFormat="1">
      <c r="A85" s="72" t="s">
        <v>28</v>
      </c>
      <c r="B85" s="73">
        <v>10</v>
      </c>
      <c r="C85" s="74">
        <v>43596</v>
      </c>
      <c r="D85" s="75" t="s">
        <v>124</v>
      </c>
      <c r="E85" s="75" t="s">
        <v>41</v>
      </c>
      <c r="F85" s="64">
        <f>'Tube wts'!F86</f>
        <v>0.98160000000000003</v>
      </c>
      <c r="G85" s="64">
        <f>'Tube wts'!G86</f>
        <v>0.99419999999999997</v>
      </c>
      <c r="H85" s="73">
        <f t="shared" si="70"/>
        <v>1.2599999999999945E-2</v>
      </c>
      <c r="I85" s="73">
        <f t="shared" si="71"/>
        <v>113.39999999999949</v>
      </c>
      <c r="J85" s="76">
        <v>0</v>
      </c>
      <c r="K85" s="76" t="s">
        <v>106</v>
      </c>
      <c r="L85" s="76" t="s">
        <v>106</v>
      </c>
      <c r="M85" s="76" t="s">
        <v>106</v>
      </c>
      <c r="N85" s="76" t="s">
        <v>106</v>
      </c>
      <c r="O85" s="76" t="s">
        <v>106</v>
      </c>
      <c r="P85" s="76">
        <v>50</v>
      </c>
      <c r="Q85" s="77">
        <f t="shared" si="72"/>
        <v>20</v>
      </c>
      <c r="R85" s="78">
        <f t="shared" si="76"/>
        <v>0</v>
      </c>
      <c r="S85" s="78"/>
      <c r="T85" s="78"/>
      <c r="U85" s="78"/>
      <c r="V85" s="78"/>
      <c r="W85" s="78"/>
      <c r="X85" s="82"/>
      <c r="Y85" s="83">
        <f t="shared" si="75"/>
        <v>0</v>
      </c>
    </row>
    <row r="86" spans="1:25" customFormat="1">
      <c r="A86" s="60" t="s">
        <v>83</v>
      </c>
      <c r="B86" s="61">
        <v>10</v>
      </c>
      <c r="C86" s="62">
        <v>43596</v>
      </c>
      <c r="D86" s="61" t="s">
        <v>125</v>
      </c>
      <c r="E86" s="61" t="s">
        <v>40</v>
      </c>
      <c r="F86" s="64">
        <f>'Tube wts'!F87</f>
        <v>0.98299999999999998</v>
      </c>
      <c r="G86" s="64">
        <f>'Tube wts'!G87</f>
        <v>0.99609999999999999</v>
      </c>
      <c r="H86" s="61">
        <f t="shared" si="70"/>
        <v>1.3100000000000001E-2</v>
      </c>
      <c r="I86" s="61">
        <f t="shared" si="71"/>
        <v>117.9</v>
      </c>
      <c r="J86" s="26">
        <v>0</v>
      </c>
      <c r="K86" s="76" t="s">
        <v>106</v>
      </c>
      <c r="L86" s="76" t="s">
        <v>106</v>
      </c>
      <c r="M86" s="76" t="s">
        <v>106</v>
      </c>
      <c r="N86" s="76" t="s">
        <v>106</v>
      </c>
      <c r="O86" s="76" t="s">
        <v>106</v>
      </c>
      <c r="P86" s="26">
        <v>50</v>
      </c>
      <c r="Q86" s="64">
        <f t="shared" si="72"/>
        <v>20</v>
      </c>
      <c r="R86" s="39">
        <f t="shared" si="76"/>
        <v>0</v>
      </c>
      <c r="S86" s="39"/>
      <c r="T86" s="39"/>
      <c r="U86" s="39"/>
      <c r="V86" s="39"/>
      <c r="W86" s="39"/>
      <c r="X86" s="80"/>
      <c r="Y86" s="81">
        <f t="shared" si="75"/>
        <v>0</v>
      </c>
    </row>
    <row r="87" spans="1:25" customFormat="1">
      <c r="A87" s="60" t="s">
        <v>83</v>
      </c>
      <c r="B87" s="61">
        <v>10</v>
      </c>
      <c r="C87" s="62">
        <v>43596</v>
      </c>
      <c r="D87" s="61" t="s">
        <v>126</v>
      </c>
      <c r="E87" s="61" t="s">
        <v>41</v>
      </c>
      <c r="F87" s="64">
        <f>'Tube wts'!F88</f>
        <v>0.98829999999999996</v>
      </c>
      <c r="G87" s="64">
        <f>'Tube wts'!G88</f>
        <v>1.002</v>
      </c>
      <c r="H87" s="61">
        <f t="shared" si="70"/>
        <v>1.3700000000000045E-2</v>
      </c>
      <c r="I87" s="61">
        <f t="shared" si="71"/>
        <v>123.30000000000041</v>
      </c>
      <c r="J87" s="26">
        <v>0</v>
      </c>
      <c r="K87" s="76" t="s">
        <v>106</v>
      </c>
      <c r="L87" s="76" t="s">
        <v>106</v>
      </c>
      <c r="M87" s="76" t="s">
        <v>106</v>
      </c>
      <c r="N87" s="76" t="s">
        <v>106</v>
      </c>
      <c r="O87" s="76" t="s">
        <v>106</v>
      </c>
      <c r="P87" s="26">
        <v>50</v>
      </c>
      <c r="Q87" s="64">
        <f t="shared" si="72"/>
        <v>20</v>
      </c>
      <c r="R87" s="39">
        <f t="shared" si="76"/>
        <v>0</v>
      </c>
      <c r="S87" s="39"/>
      <c r="T87" s="39"/>
      <c r="U87" s="39"/>
      <c r="V87" s="39"/>
      <c r="W87" s="39"/>
      <c r="X87" s="80"/>
      <c r="Y87" s="81">
        <f t="shared" si="75"/>
        <v>0</v>
      </c>
    </row>
    <row r="88" spans="1:25" customFormat="1">
      <c r="A88" s="72" t="s">
        <v>8</v>
      </c>
      <c r="B88" s="73">
        <v>10</v>
      </c>
      <c r="C88" s="74">
        <v>43596</v>
      </c>
      <c r="D88" s="75" t="s">
        <v>127</v>
      </c>
      <c r="E88" s="75" t="s">
        <v>40</v>
      </c>
      <c r="F88" s="64">
        <f>'Tube wts'!F89</f>
        <v>0.98019999999999996</v>
      </c>
      <c r="G88" s="64">
        <f>'Tube wts'!G89</f>
        <v>1.004</v>
      </c>
      <c r="H88" s="73">
        <f t="shared" si="70"/>
        <v>2.3800000000000043E-2</v>
      </c>
      <c r="I88" s="73">
        <f t="shared" si="71"/>
        <v>214.20000000000039</v>
      </c>
      <c r="J88" s="76">
        <v>0</v>
      </c>
      <c r="K88" s="76" t="s">
        <v>106</v>
      </c>
      <c r="L88" s="76" t="s">
        <v>106</v>
      </c>
      <c r="M88" s="76" t="s">
        <v>106</v>
      </c>
      <c r="N88" s="76" t="s">
        <v>106</v>
      </c>
      <c r="O88" s="76" t="s">
        <v>106</v>
      </c>
      <c r="P88" s="76">
        <v>50</v>
      </c>
      <c r="Q88" s="77">
        <f t="shared" si="72"/>
        <v>20</v>
      </c>
      <c r="R88" s="78">
        <f t="shared" si="76"/>
        <v>0</v>
      </c>
      <c r="S88" s="78"/>
      <c r="T88" s="78"/>
      <c r="U88" s="78"/>
      <c r="V88" s="78"/>
      <c r="W88" s="78"/>
      <c r="X88" s="82"/>
      <c r="Y88" s="83">
        <f t="shared" si="75"/>
        <v>0</v>
      </c>
    </row>
    <row r="89" spans="1:25" customFormat="1" ht="17" thickBot="1">
      <c r="A89" s="84" t="s">
        <v>8</v>
      </c>
      <c r="B89" s="85">
        <v>10</v>
      </c>
      <c r="C89" s="86">
        <v>43596</v>
      </c>
      <c r="D89" s="87" t="s">
        <v>128</v>
      </c>
      <c r="E89" s="87" t="s">
        <v>41</v>
      </c>
      <c r="F89" s="64">
        <f>'Tube wts'!F90</f>
        <v>0.96760000000000002</v>
      </c>
      <c r="G89" s="64">
        <f>'Tube wts'!G90</f>
        <v>0.98499999999999999</v>
      </c>
      <c r="H89" s="85">
        <f t="shared" si="70"/>
        <v>1.7399999999999971E-2</v>
      </c>
      <c r="I89" s="85">
        <f t="shared" si="71"/>
        <v>156.59999999999974</v>
      </c>
      <c r="J89" s="89">
        <v>0</v>
      </c>
      <c r="K89" s="76" t="s">
        <v>106</v>
      </c>
      <c r="L89" s="76" t="s">
        <v>106</v>
      </c>
      <c r="M89" s="76" t="s">
        <v>106</v>
      </c>
      <c r="N89" s="76" t="s">
        <v>106</v>
      </c>
      <c r="O89" s="76" t="s">
        <v>106</v>
      </c>
      <c r="P89" s="88">
        <v>50</v>
      </c>
      <c r="Q89" s="90">
        <f t="shared" si="72"/>
        <v>20</v>
      </c>
      <c r="R89" s="91">
        <f t="shared" si="76"/>
        <v>0</v>
      </c>
      <c r="S89" s="91"/>
      <c r="T89" s="91"/>
      <c r="U89" s="91"/>
      <c r="V89" s="91"/>
      <c r="W89" s="91"/>
      <c r="X89" s="92"/>
      <c r="Y89" s="93">
        <f t="shared" si="75"/>
        <v>0</v>
      </c>
    </row>
    <row r="90" spans="1:25">
      <c r="A90" s="48"/>
      <c r="B90" s="48"/>
      <c r="C90" s="99"/>
      <c r="D90" s="48"/>
      <c r="E90" s="48"/>
      <c r="F90" s="48"/>
      <c r="G90" s="48"/>
      <c r="H90" s="48"/>
      <c r="I90" s="48"/>
      <c r="Q90" s="100"/>
      <c r="U90" s="100"/>
    </row>
    <row r="91" spans="1:25">
      <c r="A91" s="101"/>
      <c r="B91" s="102"/>
      <c r="C91" s="102"/>
      <c r="D91" s="101"/>
      <c r="E91" s="101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57"/>
      <c r="U91" s="102"/>
    </row>
    <row r="92" spans="1:25">
      <c r="A92" s="103"/>
      <c r="B92" s="103"/>
      <c r="C92" s="104"/>
      <c r="D92" s="103"/>
      <c r="E92" s="103"/>
      <c r="F92" s="57"/>
      <c r="G92" s="57"/>
      <c r="H92" s="103"/>
      <c r="I92" s="103"/>
      <c r="J92" s="103"/>
      <c r="K92" s="57"/>
      <c r="L92" s="57"/>
      <c r="M92" s="57"/>
      <c r="N92" s="57"/>
      <c r="O92" s="57"/>
      <c r="P92" s="57"/>
      <c r="Q92" s="57"/>
      <c r="R92" s="105"/>
      <c r="S92" s="57"/>
      <c r="T92" s="57"/>
      <c r="U92" s="105"/>
    </row>
    <row r="93" spans="1:25">
      <c r="A93" s="103"/>
      <c r="B93" s="103"/>
      <c r="C93" s="104"/>
      <c r="D93" s="103"/>
      <c r="E93" s="103"/>
      <c r="F93" s="57"/>
      <c r="G93" s="57"/>
      <c r="H93" s="103"/>
      <c r="I93" s="103"/>
      <c r="J93" s="57"/>
      <c r="K93" s="57"/>
      <c r="L93" s="57"/>
      <c r="M93" s="57"/>
      <c r="N93" s="57"/>
      <c r="O93" s="57"/>
      <c r="P93" s="57"/>
      <c r="Q93" s="57"/>
      <c r="R93" s="105"/>
      <c r="S93" s="57"/>
      <c r="T93" s="57"/>
      <c r="U93" s="105"/>
    </row>
    <row r="94" spans="1:25">
      <c r="A94" s="103"/>
      <c r="B94" s="103"/>
      <c r="C94" s="104"/>
      <c r="D94" s="103"/>
      <c r="E94" s="103"/>
      <c r="F94" s="57"/>
      <c r="G94" s="57"/>
      <c r="H94" s="103"/>
      <c r="I94" s="103"/>
      <c r="J94" s="57"/>
      <c r="K94" s="57"/>
      <c r="L94" s="57"/>
      <c r="M94" s="57"/>
      <c r="N94" s="57"/>
      <c r="O94" s="57"/>
      <c r="P94" s="57"/>
      <c r="Q94" s="57"/>
      <c r="R94" s="105"/>
      <c r="S94" s="57"/>
      <c r="T94" s="57"/>
      <c r="U94" s="105"/>
    </row>
    <row r="95" spans="1:25">
      <c r="A95" s="103"/>
      <c r="B95" s="103"/>
      <c r="C95" s="104"/>
      <c r="D95" s="103"/>
      <c r="E95" s="103"/>
      <c r="F95" s="57"/>
      <c r="G95" s="57"/>
      <c r="H95" s="103"/>
      <c r="I95" s="103"/>
      <c r="J95" s="57"/>
      <c r="K95" s="57"/>
      <c r="L95" s="57"/>
      <c r="M95" s="57"/>
      <c r="N95" s="57"/>
      <c r="O95" s="57"/>
      <c r="P95" s="57"/>
      <c r="Q95" s="57"/>
      <c r="R95" s="105"/>
      <c r="S95" s="57"/>
      <c r="T95" s="57"/>
      <c r="U95" s="105"/>
    </row>
    <row r="96" spans="1:25">
      <c r="A96" s="103"/>
      <c r="B96" s="103"/>
      <c r="C96" s="104"/>
      <c r="D96" s="103"/>
      <c r="E96" s="103"/>
      <c r="F96" s="57"/>
      <c r="G96" s="57"/>
      <c r="H96" s="103"/>
      <c r="I96" s="103"/>
      <c r="J96" s="57"/>
      <c r="K96" s="57"/>
      <c r="L96" s="57"/>
      <c r="M96" s="57"/>
      <c r="N96" s="57"/>
      <c r="O96" s="57"/>
      <c r="P96" s="57"/>
      <c r="Q96" s="57"/>
      <c r="R96" s="105"/>
      <c r="S96" s="57"/>
      <c r="T96" s="57"/>
      <c r="U96" s="105"/>
    </row>
    <row r="97" spans="1:21">
      <c r="A97" s="103"/>
      <c r="B97" s="103"/>
      <c r="C97" s="104"/>
      <c r="D97" s="103"/>
      <c r="E97" s="103"/>
      <c r="F97" s="57"/>
      <c r="G97" s="57"/>
      <c r="H97" s="103"/>
      <c r="I97" s="103"/>
      <c r="J97" s="57"/>
      <c r="K97" s="57"/>
      <c r="L97" s="57"/>
      <c r="M97" s="57"/>
      <c r="N97" s="57"/>
      <c r="O97" s="57"/>
      <c r="P97" s="57"/>
      <c r="Q97" s="57"/>
      <c r="R97" s="105"/>
      <c r="S97" s="57"/>
      <c r="T97" s="57"/>
      <c r="U97" s="105"/>
    </row>
    <row r="98" spans="1:21">
      <c r="A98" s="103"/>
      <c r="B98" s="103"/>
      <c r="C98" s="104"/>
      <c r="D98" s="103"/>
      <c r="E98" s="103"/>
      <c r="F98" s="57"/>
      <c r="G98" s="57"/>
      <c r="H98" s="103"/>
      <c r="I98" s="103"/>
      <c r="J98" s="57"/>
      <c r="K98" s="57"/>
      <c r="L98" s="57"/>
      <c r="M98" s="57"/>
      <c r="N98" s="57"/>
      <c r="O98" s="57"/>
      <c r="P98" s="57"/>
      <c r="Q98" s="57"/>
      <c r="R98" s="105"/>
      <c r="S98" s="57"/>
      <c r="T98" s="57"/>
      <c r="U98" s="105"/>
    </row>
    <row r="99" spans="1:21">
      <c r="A99" s="103"/>
      <c r="B99" s="103"/>
      <c r="C99" s="104"/>
      <c r="D99" s="103"/>
      <c r="E99" s="103"/>
      <c r="F99" s="57"/>
      <c r="G99" s="57"/>
      <c r="H99" s="103"/>
      <c r="I99" s="103"/>
      <c r="J99" s="57"/>
      <c r="K99" s="57"/>
      <c r="L99" s="57"/>
      <c r="M99" s="57"/>
      <c r="N99" s="57"/>
      <c r="O99" s="57"/>
      <c r="P99" s="57"/>
      <c r="Q99" s="57"/>
      <c r="R99" s="105"/>
      <c r="S99" s="57"/>
      <c r="T99" s="57"/>
      <c r="U99" s="105"/>
    </row>
    <row r="100" spans="1:21">
      <c r="A100" s="48"/>
      <c r="B100" s="48"/>
      <c r="C100" s="99"/>
      <c r="D100" s="48"/>
      <c r="E100" s="48"/>
      <c r="F100" s="48"/>
      <c r="G100" s="48"/>
      <c r="H100" s="48"/>
      <c r="I100" s="48"/>
      <c r="Q100" s="100"/>
      <c r="U100" s="100"/>
    </row>
    <row r="101" spans="1:21">
      <c r="A101" s="101"/>
      <c r="B101" s="102"/>
      <c r="C101" s="102"/>
      <c r="D101" s="101"/>
      <c r="E101" s="101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57"/>
      <c r="U101" s="102"/>
    </row>
    <row r="102" spans="1:21">
      <c r="A102" s="103"/>
      <c r="B102" s="103"/>
      <c r="C102" s="104"/>
      <c r="D102" s="103"/>
      <c r="E102" s="103"/>
      <c r="F102" s="57"/>
      <c r="G102" s="57"/>
      <c r="H102" s="103"/>
      <c r="I102" s="103"/>
      <c r="J102" s="103"/>
      <c r="K102" s="57"/>
      <c r="L102" s="57"/>
      <c r="M102" s="57"/>
      <c r="N102" s="57"/>
      <c r="O102" s="57"/>
      <c r="P102" s="57"/>
      <c r="Q102" s="57"/>
      <c r="R102" s="105"/>
      <c r="S102" s="57"/>
      <c r="T102" s="57"/>
      <c r="U102" s="105"/>
    </row>
    <row r="103" spans="1:21">
      <c r="A103" s="103"/>
      <c r="B103" s="103"/>
      <c r="C103" s="104"/>
      <c r="D103" s="103"/>
      <c r="E103" s="103"/>
      <c r="F103" s="57"/>
      <c r="G103" s="57"/>
      <c r="H103" s="103"/>
      <c r="I103" s="103"/>
      <c r="J103" s="57"/>
      <c r="K103" s="57"/>
      <c r="L103" s="57"/>
      <c r="M103" s="57"/>
      <c r="N103" s="57"/>
      <c r="O103" s="57"/>
      <c r="P103" s="57"/>
      <c r="Q103" s="57"/>
      <c r="R103" s="105"/>
      <c r="S103" s="57"/>
      <c r="T103" s="57"/>
      <c r="U103" s="105"/>
    </row>
    <row r="104" spans="1:21">
      <c r="A104" s="103"/>
      <c r="B104" s="103"/>
      <c r="C104" s="104"/>
      <c r="D104" s="103"/>
      <c r="E104" s="103"/>
      <c r="F104" s="57"/>
      <c r="G104" s="57"/>
      <c r="H104" s="103"/>
      <c r="I104" s="103"/>
      <c r="J104" s="57"/>
      <c r="K104" s="57"/>
      <c r="L104" s="57"/>
      <c r="M104" s="57"/>
      <c r="N104" s="57"/>
      <c r="O104" s="57"/>
      <c r="P104" s="57"/>
      <c r="Q104" s="57"/>
      <c r="R104" s="105"/>
      <c r="S104" s="57"/>
      <c r="T104" s="57"/>
      <c r="U104" s="105"/>
    </row>
    <row r="105" spans="1:21">
      <c r="A105" s="103"/>
      <c r="B105" s="103"/>
      <c r="C105" s="104"/>
      <c r="D105" s="103"/>
      <c r="E105" s="103"/>
      <c r="F105" s="57"/>
      <c r="G105" s="57"/>
      <c r="H105" s="103"/>
      <c r="I105" s="103"/>
      <c r="J105" s="57"/>
      <c r="K105" s="57"/>
      <c r="L105" s="57"/>
      <c r="M105" s="57"/>
      <c r="N105" s="57"/>
      <c r="O105" s="57"/>
      <c r="P105" s="57"/>
      <c r="Q105" s="57"/>
      <c r="R105" s="105"/>
      <c r="S105" s="57"/>
      <c r="T105" s="57"/>
      <c r="U105" s="105"/>
    </row>
    <row r="106" spans="1:21">
      <c r="A106" s="103"/>
      <c r="B106" s="103"/>
      <c r="C106" s="104"/>
      <c r="D106" s="103"/>
      <c r="E106" s="103"/>
      <c r="F106" s="57"/>
      <c r="G106" s="57"/>
      <c r="H106" s="103"/>
      <c r="I106" s="103"/>
      <c r="J106" s="57"/>
      <c r="K106" s="57"/>
      <c r="L106" s="57"/>
      <c r="M106" s="57"/>
      <c r="N106" s="57"/>
      <c r="O106" s="57"/>
      <c r="P106" s="57"/>
      <c r="Q106" s="57"/>
      <c r="R106" s="105"/>
      <c r="S106" s="57"/>
      <c r="T106" s="57"/>
      <c r="U106" s="105"/>
    </row>
    <row r="107" spans="1:21">
      <c r="A107" s="103"/>
      <c r="B107" s="103"/>
      <c r="C107" s="104"/>
      <c r="D107" s="103"/>
      <c r="E107" s="103"/>
      <c r="F107" s="57"/>
      <c r="G107" s="57"/>
      <c r="H107" s="103"/>
      <c r="I107" s="103"/>
      <c r="J107" s="57"/>
      <c r="K107" s="57"/>
      <c r="L107" s="57"/>
      <c r="M107" s="57"/>
      <c r="N107" s="57"/>
      <c r="O107" s="57"/>
      <c r="P107" s="57"/>
      <c r="Q107" s="57"/>
      <c r="R107" s="105"/>
      <c r="S107" s="57"/>
      <c r="T107" s="57"/>
      <c r="U107" s="105"/>
    </row>
    <row r="108" spans="1:21">
      <c r="A108" s="103"/>
      <c r="B108" s="103"/>
      <c r="C108" s="104"/>
      <c r="D108" s="103"/>
      <c r="E108" s="103"/>
      <c r="F108" s="57"/>
      <c r="G108" s="57"/>
      <c r="H108" s="103"/>
      <c r="I108" s="103"/>
      <c r="J108" s="57"/>
      <c r="K108" s="57"/>
      <c r="L108" s="57"/>
      <c r="M108" s="57"/>
      <c r="N108" s="57"/>
      <c r="O108" s="57"/>
      <c r="P108" s="57"/>
      <c r="Q108" s="57"/>
      <c r="R108" s="105"/>
      <c r="S108" s="57"/>
      <c r="T108" s="57"/>
      <c r="U108" s="105"/>
    </row>
    <row r="109" spans="1:21">
      <c r="A109" s="103"/>
      <c r="B109" s="103"/>
      <c r="C109" s="104"/>
      <c r="D109" s="103"/>
      <c r="E109" s="103"/>
      <c r="F109" s="57"/>
      <c r="G109" s="57"/>
      <c r="H109" s="103"/>
      <c r="I109" s="103"/>
      <c r="J109" s="57"/>
      <c r="K109" s="57"/>
      <c r="L109" s="57"/>
      <c r="M109" s="57"/>
      <c r="N109" s="57"/>
      <c r="O109" s="57"/>
      <c r="P109" s="57"/>
      <c r="Q109" s="57"/>
      <c r="R109" s="105"/>
      <c r="S109" s="57"/>
      <c r="T109" s="57"/>
      <c r="U109" s="105"/>
    </row>
  </sheetData>
  <pageMargins left="0.25" right="0.25" top="0.75" bottom="0.75" header="0.3" footer="0.3"/>
  <pageSetup scale="72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989A-3129-C04F-86C4-43D80396F7CC}">
  <dimension ref="A1:T121"/>
  <sheetViews>
    <sheetView tabSelected="1" workbookViewId="0">
      <selection activeCell="F49" sqref="F49"/>
    </sheetView>
  </sheetViews>
  <sheetFormatPr baseColWidth="10" defaultRowHeight="16"/>
  <cols>
    <col min="6" max="6" width="12.6640625" style="33" bestFit="1" customWidth="1"/>
  </cols>
  <sheetData>
    <row r="1" spans="1:20">
      <c r="A1" s="127" t="s">
        <v>91</v>
      </c>
      <c r="B1" s="127" t="s">
        <v>195</v>
      </c>
      <c r="C1" s="127" t="s">
        <v>196</v>
      </c>
      <c r="D1" s="127" t="s">
        <v>198</v>
      </c>
      <c r="E1" s="127" t="s">
        <v>208</v>
      </c>
      <c r="F1" s="128" t="s">
        <v>209</v>
      </c>
      <c r="G1" s="129" t="s">
        <v>197</v>
      </c>
      <c r="H1" s="129" t="s">
        <v>224</v>
      </c>
      <c r="I1" s="123"/>
      <c r="J1" s="123"/>
      <c r="K1" s="123"/>
      <c r="L1" s="123"/>
      <c r="M1" s="123"/>
      <c r="N1" s="123"/>
      <c r="O1" s="40"/>
      <c r="P1" s="40"/>
      <c r="Q1" s="40"/>
      <c r="R1" s="40"/>
      <c r="S1" s="40"/>
      <c r="T1" s="40"/>
    </row>
    <row r="2" spans="1:20">
      <c r="A2" s="23" t="s">
        <v>74</v>
      </c>
      <c r="B2" s="17" t="s">
        <v>121</v>
      </c>
      <c r="C2" s="17" t="s">
        <v>40</v>
      </c>
      <c r="D2" s="17">
        <v>-9</v>
      </c>
      <c r="E2" s="13">
        <f>'Daily Weight '!E2</f>
        <v>25.3</v>
      </c>
      <c r="F2" s="33">
        <v>0</v>
      </c>
      <c r="G2" s="130">
        <f t="shared" ref="G2:G8" si="0">G34+D2</f>
        <v>43577</v>
      </c>
      <c r="H2" s="24" t="s">
        <v>225</v>
      </c>
      <c r="I2" s="24"/>
      <c r="J2" s="24"/>
      <c r="K2" s="24"/>
      <c r="L2" s="24"/>
      <c r="M2" s="24"/>
      <c r="N2" s="24"/>
      <c r="O2" s="24"/>
      <c r="P2" s="81"/>
      <c r="Q2" s="124"/>
      <c r="R2" s="124"/>
      <c r="S2" s="124"/>
      <c r="T2" s="124"/>
    </row>
    <row r="3" spans="1:20">
      <c r="A3" s="17" t="s">
        <v>74</v>
      </c>
      <c r="B3" s="17" t="s">
        <v>122</v>
      </c>
      <c r="C3" s="17" t="s">
        <v>41</v>
      </c>
      <c r="D3" s="17">
        <v>-9</v>
      </c>
      <c r="E3" s="13">
        <f>'Daily Weight '!E3</f>
        <v>22.8</v>
      </c>
      <c r="F3" s="33">
        <v>0</v>
      </c>
      <c r="G3" s="130">
        <f t="shared" si="0"/>
        <v>43577</v>
      </c>
      <c r="H3" s="24" t="s">
        <v>225</v>
      </c>
      <c r="I3" s="24"/>
      <c r="J3" s="24"/>
      <c r="K3" s="24"/>
      <c r="L3" s="24"/>
      <c r="M3" s="24"/>
      <c r="N3" s="24"/>
      <c r="O3" s="24"/>
      <c r="P3" s="81"/>
      <c r="Q3" s="124"/>
      <c r="R3" s="124"/>
      <c r="S3" s="124"/>
      <c r="T3" s="124"/>
    </row>
    <row r="4" spans="1:20">
      <c r="A4" s="25" t="s">
        <v>28</v>
      </c>
      <c r="B4" s="25" t="s">
        <v>123</v>
      </c>
      <c r="C4" s="25" t="s">
        <v>40</v>
      </c>
      <c r="D4" s="17">
        <v>-9</v>
      </c>
      <c r="E4" s="13">
        <f>'Daily Weight '!E4</f>
        <v>24.5</v>
      </c>
      <c r="F4" s="33">
        <v>0</v>
      </c>
      <c r="G4" s="130">
        <f t="shared" si="0"/>
        <v>43577</v>
      </c>
      <c r="H4" s="24" t="s">
        <v>225</v>
      </c>
      <c r="I4" s="24"/>
      <c r="J4" s="24"/>
      <c r="K4" s="24"/>
      <c r="L4" s="24"/>
      <c r="M4" s="24"/>
      <c r="N4" s="24"/>
      <c r="O4" s="24"/>
      <c r="P4" s="81"/>
      <c r="Q4" s="124"/>
      <c r="R4" s="124"/>
      <c r="S4" s="124"/>
      <c r="T4" s="124"/>
    </row>
    <row r="5" spans="1:20">
      <c r="A5" s="25" t="s">
        <v>28</v>
      </c>
      <c r="B5" s="25" t="s">
        <v>124</v>
      </c>
      <c r="C5" s="25" t="s">
        <v>41</v>
      </c>
      <c r="D5" s="17">
        <v>-9</v>
      </c>
      <c r="E5" s="13">
        <f>'Daily Weight '!E5</f>
        <v>25.3</v>
      </c>
      <c r="F5" s="33">
        <v>0</v>
      </c>
      <c r="G5" s="130">
        <f t="shared" si="0"/>
        <v>43577</v>
      </c>
      <c r="H5" s="24" t="s">
        <v>225</v>
      </c>
      <c r="I5" s="24"/>
      <c r="J5" s="24"/>
      <c r="K5" s="24"/>
      <c r="L5" s="24"/>
      <c r="M5" s="24"/>
      <c r="N5" s="24"/>
      <c r="O5" s="24"/>
      <c r="P5" s="81"/>
      <c r="Q5" s="124"/>
      <c r="R5" s="124"/>
      <c r="S5" s="124"/>
      <c r="T5" s="124"/>
    </row>
    <row r="6" spans="1:20">
      <c r="A6" s="23" t="s">
        <v>83</v>
      </c>
      <c r="B6" s="23" t="s">
        <v>125</v>
      </c>
      <c r="C6" s="23" t="s">
        <v>40</v>
      </c>
      <c r="D6" s="17">
        <v>-9</v>
      </c>
      <c r="E6" s="13">
        <f>'Daily Weight '!E6</f>
        <v>25.1</v>
      </c>
      <c r="F6" s="33">
        <v>0</v>
      </c>
      <c r="G6" s="130">
        <f t="shared" si="0"/>
        <v>43577</v>
      </c>
      <c r="H6" s="24" t="s">
        <v>225</v>
      </c>
      <c r="I6" s="24"/>
      <c r="J6" s="24"/>
      <c r="K6" s="24"/>
      <c r="L6" s="24"/>
      <c r="M6" s="24"/>
      <c r="N6" s="24"/>
      <c r="O6" s="124"/>
      <c r="P6" s="81"/>
      <c r="Q6" s="124"/>
      <c r="R6" s="124"/>
      <c r="S6" s="124"/>
      <c r="T6" s="124"/>
    </row>
    <row r="7" spans="1:20">
      <c r="A7" s="23" t="s">
        <v>83</v>
      </c>
      <c r="B7" s="23" t="s">
        <v>126</v>
      </c>
      <c r="C7" s="23" t="s">
        <v>41</v>
      </c>
      <c r="D7" s="17">
        <v>-9</v>
      </c>
      <c r="E7" s="13">
        <f>'Daily Weight '!E7</f>
        <v>24.4</v>
      </c>
      <c r="F7" s="33">
        <v>0</v>
      </c>
      <c r="G7" s="130">
        <f t="shared" si="0"/>
        <v>43577</v>
      </c>
      <c r="H7" s="24" t="s">
        <v>225</v>
      </c>
      <c r="I7" s="24"/>
      <c r="J7" s="24"/>
      <c r="K7" s="24"/>
      <c r="L7" s="24"/>
      <c r="M7" s="24"/>
      <c r="N7" s="24"/>
      <c r="O7" s="124"/>
      <c r="P7" s="81"/>
      <c r="Q7" s="124"/>
      <c r="R7" s="24"/>
      <c r="S7" s="124"/>
      <c r="T7" s="124"/>
    </row>
    <row r="8" spans="1:20">
      <c r="A8" s="25" t="s">
        <v>8</v>
      </c>
      <c r="B8" s="25" t="s">
        <v>127</v>
      </c>
      <c r="C8" s="25" t="s">
        <v>40</v>
      </c>
      <c r="D8" s="17">
        <v>-9</v>
      </c>
      <c r="E8" s="13">
        <f>'Daily Weight '!E8</f>
        <v>25.4</v>
      </c>
      <c r="F8" s="33">
        <v>0</v>
      </c>
      <c r="G8" s="130">
        <f t="shared" si="0"/>
        <v>43577</v>
      </c>
      <c r="H8" s="24" t="s">
        <v>225</v>
      </c>
      <c r="I8" s="24"/>
      <c r="J8" s="24"/>
      <c r="K8" s="24"/>
      <c r="L8" s="24"/>
      <c r="M8" s="24"/>
      <c r="N8" s="24"/>
      <c r="O8" s="24"/>
      <c r="P8" s="81"/>
      <c r="Q8" s="124"/>
      <c r="R8" s="124"/>
      <c r="S8" s="124"/>
      <c r="T8" s="124"/>
    </row>
    <row r="9" spans="1:20" ht="17" thickBot="1">
      <c r="A9" s="121" t="s">
        <v>8</v>
      </c>
      <c r="B9" s="25" t="s">
        <v>128</v>
      </c>
      <c r="C9" s="121" t="s">
        <v>41</v>
      </c>
      <c r="D9" s="17">
        <v>-9</v>
      </c>
      <c r="E9" s="13">
        <f>'Daily Weight '!E9</f>
        <v>23.8</v>
      </c>
      <c r="F9" s="33">
        <v>0</v>
      </c>
      <c r="G9" s="130">
        <f>G41+D9</f>
        <v>43577</v>
      </c>
      <c r="H9" s="24" t="s">
        <v>225</v>
      </c>
      <c r="I9" s="24"/>
      <c r="J9" s="24"/>
      <c r="K9" s="24"/>
      <c r="L9" s="24"/>
      <c r="M9" s="24"/>
      <c r="N9" s="24"/>
      <c r="O9" s="124"/>
      <c r="P9" s="81"/>
      <c r="Q9" s="124"/>
      <c r="R9" s="124"/>
      <c r="S9" s="124"/>
      <c r="T9" s="124"/>
    </row>
    <row r="10" spans="1:20">
      <c r="A10" s="23" t="s">
        <v>74</v>
      </c>
      <c r="B10" s="17" t="s">
        <v>121</v>
      </c>
      <c r="C10" s="17" t="s">
        <v>40</v>
      </c>
      <c r="D10" s="17">
        <v>-4</v>
      </c>
      <c r="E10" s="13">
        <f>'Daily Weight '!F2</f>
        <v>25.5</v>
      </c>
      <c r="F10" s="33">
        <v>0</v>
      </c>
      <c r="G10" s="130">
        <f t="shared" ref="G10:G16" si="1">G34+D10</f>
        <v>43582</v>
      </c>
      <c r="H10" s="24" t="s">
        <v>225</v>
      </c>
      <c r="I10" s="24"/>
      <c r="J10" s="24"/>
      <c r="K10" s="16"/>
      <c r="L10" s="16"/>
      <c r="M10" s="16"/>
      <c r="N10" s="16"/>
      <c r="O10" s="16"/>
      <c r="P10" s="81"/>
      <c r="Q10" s="124"/>
      <c r="R10" s="124"/>
      <c r="S10" s="124"/>
      <c r="T10" s="124"/>
    </row>
    <row r="11" spans="1:20">
      <c r="A11" s="17" t="s">
        <v>74</v>
      </c>
      <c r="B11" s="17" t="s">
        <v>122</v>
      </c>
      <c r="C11" s="17" t="s">
        <v>41</v>
      </c>
      <c r="D11" s="17">
        <v>-4</v>
      </c>
      <c r="E11" s="13">
        <f>'Daily Weight '!F3</f>
        <v>24</v>
      </c>
      <c r="F11" s="33">
        <v>0</v>
      </c>
      <c r="G11" s="130">
        <f t="shared" si="1"/>
        <v>43582</v>
      </c>
      <c r="H11" s="24" t="s">
        <v>225</v>
      </c>
      <c r="I11" s="24"/>
      <c r="J11" s="24"/>
      <c r="K11" s="24"/>
      <c r="L11" s="24"/>
      <c r="M11" s="24"/>
      <c r="N11" s="24"/>
      <c r="O11" s="24"/>
      <c r="P11" s="81"/>
      <c r="Q11" s="124"/>
      <c r="R11" s="124"/>
      <c r="S11" s="124"/>
      <c r="T11" s="124"/>
    </row>
    <row r="12" spans="1:20">
      <c r="A12" s="25" t="s">
        <v>28</v>
      </c>
      <c r="B12" s="25" t="s">
        <v>123</v>
      </c>
      <c r="C12" s="25" t="s">
        <v>40</v>
      </c>
      <c r="D12" s="17">
        <v>-4</v>
      </c>
      <c r="E12" s="13">
        <f>'Daily Weight '!F4</f>
        <v>24</v>
      </c>
      <c r="F12" s="33">
        <v>0</v>
      </c>
      <c r="G12" s="130">
        <f t="shared" si="1"/>
        <v>43582</v>
      </c>
      <c r="H12" s="24" t="s">
        <v>225</v>
      </c>
      <c r="I12" s="24"/>
      <c r="J12" s="24"/>
      <c r="K12" s="24"/>
      <c r="L12" s="24"/>
      <c r="M12" s="24"/>
      <c r="N12" s="24"/>
      <c r="O12" s="24"/>
      <c r="P12" s="81"/>
      <c r="Q12" s="124"/>
      <c r="R12" s="124"/>
      <c r="S12" s="124"/>
      <c r="T12" s="124"/>
    </row>
    <row r="13" spans="1:20">
      <c r="A13" s="25" t="s">
        <v>28</v>
      </c>
      <c r="B13" s="25" t="s">
        <v>124</v>
      </c>
      <c r="C13" s="25" t="s">
        <v>41</v>
      </c>
      <c r="D13" s="17">
        <v>-4</v>
      </c>
      <c r="E13" s="13">
        <f>'Daily Weight '!F5</f>
        <v>25.4</v>
      </c>
      <c r="F13" s="33">
        <v>0</v>
      </c>
      <c r="G13" s="130">
        <f t="shared" si="1"/>
        <v>43582</v>
      </c>
      <c r="H13" s="24" t="s">
        <v>225</v>
      </c>
      <c r="I13" s="24"/>
      <c r="J13" s="24"/>
      <c r="K13" s="24"/>
      <c r="L13" s="24"/>
      <c r="M13" s="24"/>
      <c r="N13" s="24"/>
      <c r="O13" s="124"/>
      <c r="P13" s="81"/>
      <c r="Q13" s="124"/>
      <c r="R13" s="124"/>
      <c r="S13" s="124"/>
      <c r="T13" s="124"/>
    </row>
    <row r="14" spans="1:20">
      <c r="A14" s="23" t="s">
        <v>83</v>
      </c>
      <c r="B14" s="23" t="s">
        <v>125</v>
      </c>
      <c r="C14" s="23" t="s">
        <v>40</v>
      </c>
      <c r="D14" s="17">
        <v>-4</v>
      </c>
      <c r="E14" s="13">
        <f>'Daily Weight '!F6</f>
        <v>24.8</v>
      </c>
      <c r="F14" s="33">
        <v>0</v>
      </c>
      <c r="G14" s="130">
        <f t="shared" si="1"/>
        <v>43582</v>
      </c>
      <c r="H14" s="24" t="s">
        <v>225</v>
      </c>
      <c r="I14" s="24"/>
      <c r="J14" s="24"/>
      <c r="K14" s="24"/>
      <c r="L14" s="24"/>
      <c r="M14" s="24"/>
      <c r="N14" s="24"/>
      <c r="O14" s="124"/>
      <c r="P14" s="81"/>
      <c r="Q14" s="124"/>
      <c r="R14" s="24"/>
      <c r="S14" s="124"/>
      <c r="T14" s="124"/>
    </row>
    <row r="15" spans="1:20">
      <c r="A15" s="23" t="s">
        <v>83</v>
      </c>
      <c r="B15" s="23" t="s">
        <v>126</v>
      </c>
      <c r="C15" s="23" t="s">
        <v>41</v>
      </c>
      <c r="D15" s="17">
        <v>-4</v>
      </c>
      <c r="E15" s="13">
        <f>'Daily Weight '!F7</f>
        <v>24.6</v>
      </c>
      <c r="F15" s="33">
        <v>0</v>
      </c>
      <c r="G15" s="130">
        <f t="shared" si="1"/>
        <v>43582</v>
      </c>
      <c r="H15" s="24" t="s">
        <v>225</v>
      </c>
      <c r="I15" s="24"/>
      <c r="J15" s="24"/>
      <c r="K15" s="24"/>
      <c r="L15" s="24"/>
      <c r="M15" s="24"/>
      <c r="N15" s="24"/>
      <c r="O15" s="124"/>
      <c r="P15" s="81"/>
      <c r="Q15" s="124"/>
      <c r="R15" s="124"/>
      <c r="S15" s="124"/>
      <c r="T15" s="124"/>
    </row>
    <row r="16" spans="1:20">
      <c r="A16" s="25" t="s">
        <v>8</v>
      </c>
      <c r="B16" s="25" t="s">
        <v>127</v>
      </c>
      <c r="C16" s="25" t="s">
        <v>40</v>
      </c>
      <c r="D16" s="17">
        <v>-4</v>
      </c>
      <c r="E16" s="13">
        <f>'Daily Weight '!F8</f>
        <v>26.1</v>
      </c>
      <c r="F16" s="33">
        <v>0</v>
      </c>
      <c r="G16" s="130">
        <f t="shared" si="1"/>
        <v>43582</v>
      </c>
      <c r="H16" s="24" t="s">
        <v>225</v>
      </c>
      <c r="I16" s="24"/>
      <c r="J16" s="24"/>
      <c r="K16" s="24"/>
      <c r="L16" s="24"/>
      <c r="M16" s="24"/>
      <c r="N16" s="24"/>
      <c r="O16" s="124"/>
      <c r="P16" s="81"/>
      <c r="Q16" s="124"/>
      <c r="R16" s="124"/>
      <c r="S16" s="124"/>
      <c r="T16" s="124"/>
    </row>
    <row r="17" spans="1:20" ht="17" thickBot="1">
      <c r="A17" s="121" t="s">
        <v>8</v>
      </c>
      <c r="B17" s="25" t="s">
        <v>128</v>
      </c>
      <c r="C17" s="121" t="s">
        <v>41</v>
      </c>
      <c r="D17" s="17">
        <v>-4</v>
      </c>
      <c r="E17" s="13">
        <f>'Daily Weight '!F9</f>
        <v>23.7</v>
      </c>
      <c r="F17" s="33">
        <v>0</v>
      </c>
      <c r="G17" s="130">
        <f>G41+D17</f>
        <v>43582</v>
      </c>
      <c r="H17" s="24" t="s">
        <v>225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>
      <c r="A18" s="23" t="s">
        <v>74</v>
      </c>
      <c r="B18" s="17" t="s">
        <v>121</v>
      </c>
      <c r="C18" s="17" t="s">
        <v>40</v>
      </c>
      <c r="D18" s="17">
        <v>-2</v>
      </c>
      <c r="E18" s="13">
        <f>'Daily Weight '!G2</f>
        <v>26.2</v>
      </c>
      <c r="F18" s="33">
        <v>0</v>
      </c>
      <c r="G18" s="130">
        <f t="shared" ref="G18:G24" si="2">G34+D18</f>
        <v>43584</v>
      </c>
      <c r="H18" s="24" t="s">
        <v>225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>
      <c r="A19" s="17" t="s">
        <v>74</v>
      </c>
      <c r="B19" s="17" t="s">
        <v>122</v>
      </c>
      <c r="C19" s="17" t="s">
        <v>41</v>
      </c>
      <c r="D19" s="17">
        <v>-2</v>
      </c>
      <c r="E19" s="13">
        <f>'Daily Weight '!G3</f>
        <v>25.1</v>
      </c>
      <c r="F19" s="33">
        <v>0</v>
      </c>
      <c r="G19" s="130">
        <f t="shared" si="2"/>
        <v>43584</v>
      </c>
      <c r="H19" s="24" t="s">
        <v>225</v>
      </c>
    </row>
    <row r="20" spans="1:20">
      <c r="A20" s="25" t="s">
        <v>28</v>
      </c>
      <c r="B20" s="25" t="s">
        <v>123</v>
      </c>
      <c r="C20" s="25" t="s">
        <v>40</v>
      </c>
      <c r="D20" s="17">
        <v>-2</v>
      </c>
      <c r="E20" s="13">
        <f>'Daily Weight '!G4</f>
        <v>25.2</v>
      </c>
      <c r="F20" s="33">
        <v>0</v>
      </c>
      <c r="G20" s="130">
        <f t="shared" si="2"/>
        <v>43584</v>
      </c>
      <c r="H20" s="24" t="s">
        <v>225</v>
      </c>
    </row>
    <row r="21" spans="1:20">
      <c r="A21" s="25" t="s">
        <v>28</v>
      </c>
      <c r="B21" s="25" t="s">
        <v>124</v>
      </c>
      <c r="C21" s="25" t="s">
        <v>41</v>
      </c>
      <c r="D21" s="17">
        <v>-2</v>
      </c>
      <c r="E21" s="13">
        <f>'Daily Weight '!G5</f>
        <v>26.2</v>
      </c>
      <c r="F21" s="33">
        <v>0</v>
      </c>
      <c r="G21" s="130">
        <f t="shared" si="2"/>
        <v>43584</v>
      </c>
      <c r="H21" s="24" t="s">
        <v>225</v>
      </c>
    </row>
    <row r="22" spans="1:20">
      <c r="A22" s="23" t="s">
        <v>83</v>
      </c>
      <c r="B22" s="23" t="s">
        <v>125</v>
      </c>
      <c r="C22" s="23" t="s">
        <v>40</v>
      </c>
      <c r="D22" s="17">
        <v>-2</v>
      </c>
      <c r="E22" s="13">
        <f>'Daily Weight '!G6</f>
        <v>26.2</v>
      </c>
      <c r="F22" s="33">
        <v>0</v>
      </c>
      <c r="G22" s="130">
        <f t="shared" si="2"/>
        <v>43584</v>
      </c>
      <c r="H22" s="24" t="s">
        <v>225</v>
      </c>
    </row>
    <row r="23" spans="1:20">
      <c r="A23" s="23" t="s">
        <v>83</v>
      </c>
      <c r="B23" s="23" t="s">
        <v>126</v>
      </c>
      <c r="C23" s="23" t="s">
        <v>41</v>
      </c>
      <c r="D23" s="17">
        <v>-2</v>
      </c>
      <c r="E23" s="13">
        <f>'Daily Weight '!G7</f>
        <v>25.4</v>
      </c>
      <c r="F23" s="33">
        <v>0</v>
      </c>
      <c r="G23" s="130">
        <f t="shared" si="2"/>
        <v>43584</v>
      </c>
      <c r="H23" s="24" t="s">
        <v>225</v>
      </c>
    </row>
    <row r="24" spans="1:20">
      <c r="A24" s="25" t="s">
        <v>8</v>
      </c>
      <c r="B24" s="25" t="s">
        <v>127</v>
      </c>
      <c r="C24" s="25" t="s">
        <v>40</v>
      </c>
      <c r="D24" s="17">
        <v>-2</v>
      </c>
      <c r="E24" s="13">
        <f>'Daily Weight '!G8</f>
        <v>25.6</v>
      </c>
      <c r="F24" s="33">
        <v>0</v>
      </c>
      <c r="G24" s="130">
        <f t="shared" si="2"/>
        <v>43584</v>
      </c>
      <c r="H24" s="24" t="s">
        <v>225</v>
      </c>
    </row>
    <row r="25" spans="1:20" ht="17" thickBot="1">
      <c r="A25" s="121" t="s">
        <v>8</v>
      </c>
      <c r="B25" s="25" t="s">
        <v>128</v>
      </c>
      <c r="C25" s="121" t="s">
        <v>41</v>
      </c>
      <c r="D25" s="122">
        <v>-2</v>
      </c>
      <c r="E25" s="13">
        <f>'Daily Weight '!G9</f>
        <v>24.1</v>
      </c>
      <c r="F25" s="33">
        <v>0</v>
      </c>
      <c r="G25" s="130">
        <f>G41+D25</f>
        <v>43584</v>
      </c>
      <c r="H25" s="24" t="s">
        <v>225</v>
      </c>
    </row>
    <row r="26" spans="1:20">
      <c r="A26" s="23" t="s">
        <v>74</v>
      </c>
      <c r="B26" s="17" t="s">
        <v>121</v>
      </c>
      <c r="C26" s="17" t="s">
        <v>40</v>
      </c>
      <c r="D26" s="17">
        <v>-1</v>
      </c>
      <c r="E26" s="13">
        <f>'Daily Weight '!H2</f>
        <v>25.8</v>
      </c>
      <c r="F26" s="33">
        <v>0</v>
      </c>
      <c r="G26" s="130">
        <f t="shared" ref="G26:G32" si="3">G34+D26</f>
        <v>43585</v>
      </c>
      <c r="H26" s="24" t="s">
        <v>225</v>
      </c>
    </row>
    <row r="27" spans="1:20">
      <c r="A27" s="17" t="s">
        <v>74</v>
      </c>
      <c r="B27" s="17" t="s">
        <v>122</v>
      </c>
      <c r="C27" s="17" t="s">
        <v>41</v>
      </c>
      <c r="D27" s="17">
        <v>-1</v>
      </c>
      <c r="E27" s="13">
        <f>'Daily Weight '!H3</f>
        <v>25.1</v>
      </c>
      <c r="F27" s="33">
        <v>0</v>
      </c>
      <c r="G27" s="130">
        <f t="shared" si="3"/>
        <v>43585</v>
      </c>
      <c r="H27" s="24" t="s">
        <v>225</v>
      </c>
    </row>
    <row r="28" spans="1:20">
      <c r="A28" s="25" t="s">
        <v>28</v>
      </c>
      <c r="B28" s="25" t="s">
        <v>123</v>
      </c>
      <c r="C28" s="25" t="s">
        <v>40</v>
      </c>
      <c r="D28" s="17">
        <v>-1</v>
      </c>
      <c r="E28" s="13">
        <f>'Daily Weight '!H4</f>
        <v>24.9</v>
      </c>
      <c r="F28" s="33">
        <v>0</v>
      </c>
      <c r="G28" s="130">
        <f t="shared" si="3"/>
        <v>43585</v>
      </c>
      <c r="H28" s="24" t="s">
        <v>225</v>
      </c>
    </row>
    <row r="29" spans="1:20">
      <c r="A29" s="25" t="s">
        <v>28</v>
      </c>
      <c r="B29" s="25" t="s">
        <v>124</v>
      </c>
      <c r="C29" s="25" t="s">
        <v>41</v>
      </c>
      <c r="D29" s="17">
        <v>-1</v>
      </c>
      <c r="E29" s="13">
        <f>'Daily Weight '!H5</f>
        <v>25.7</v>
      </c>
      <c r="F29" s="33">
        <v>0</v>
      </c>
      <c r="G29" s="130">
        <f t="shared" si="3"/>
        <v>43585</v>
      </c>
      <c r="H29" s="24" t="s">
        <v>225</v>
      </c>
    </row>
    <row r="30" spans="1:20">
      <c r="A30" s="23" t="s">
        <v>83</v>
      </c>
      <c r="B30" s="23" t="s">
        <v>125</v>
      </c>
      <c r="C30" s="23" t="s">
        <v>40</v>
      </c>
      <c r="D30" s="17">
        <v>-1</v>
      </c>
      <c r="E30" s="13">
        <f>'Daily Weight '!H6</f>
        <v>26.4</v>
      </c>
      <c r="F30" s="33">
        <v>0</v>
      </c>
      <c r="G30" s="130">
        <f t="shared" si="3"/>
        <v>43585</v>
      </c>
      <c r="H30" s="24" t="s">
        <v>225</v>
      </c>
    </row>
    <row r="31" spans="1:20">
      <c r="A31" s="23" t="s">
        <v>83</v>
      </c>
      <c r="B31" s="23" t="s">
        <v>126</v>
      </c>
      <c r="C31" s="23" t="s">
        <v>41</v>
      </c>
      <c r="D31" s="17">
        <v>-1</v>
      </c>
      <c r="E31" s="13">
        <f>'Daily Weight '!H7</f>
        <v>25.6</v>
      </c>
      <c r="F31" s="33">
        <v>0</v>
      </c>
      <c r="G31" s="130">
        <f t="shared" si="3"/>
        <v>43585</v>
      </c>
      <c r="H31" s="24" t="s">
        <v>225</v>
      </c>
    </row>
    <row r="32" spans="1:20">
      <c r="A32" s="25" t="s">
        <v>8</v>
      </c>
      <c r="B32" s="25" t="s">
        <v>127</v>
      </c>
      <c r="C32" s="25" t="s">
        <v>40</v>
      </c>
      <c r="D32" s="17">
        <v>-1</v>
      </c>
      <c r="E32" s="13">
        <f>'Daily Weight '!H8</f>
        <v>26.7</v>
      </c>
      <c r="F32" s="33">
        <v>0</v>
      </c>
      <c r="G32" s="130">
        <f t="shared" si="3"/>
        <v>43585</v>
      </c>
      <c r="H32" s="24" t="s">
        <v>225</v>
      </c>
    </row>
    <row r="33" spans="1:10" ht="17" thickBot="1">
      <c r="A33" s="121" t="s">
        <v>8</v>
      </c>
      <c r="B33" s="25" t="s">
        <v>128</v>
      </c>
      <c r="C33" s="121" t="s">
        <v>41</v>
      </c>
      <c r="D33" s="122">
        <v>-1</v>
      </c>
      <c r="E33" s="13">
        <f>'Daily Weight '!H9</f>
        <v>24.9</v>
      </c>
      <c r="F33" s="33">
        <v>0</v>
      </c>
      <c r="G33" s="130">
        <f>G41+D33</f>
        <v>43585</v>
      </c>
      <c r="H33" s="24" t="s">
        <v>225</v>
      </c>
    </row>
    <row r="34" spans="1:10">
      <c r="A34" s="23" t="s">
        <v>74</v>
      </c>
      <c r="B34" s="17" t="s">
        <v>121</v>
      </c>
      <c r="C34" s="17" t="s">
        <v>40</v>
      </c>
      <c r="D34" s="17">
        <v>0</v>
      </c>
      <c r="E34" s="13">
        <f>'Daily Weight '!I2</f>
        <v>26.5</v>
      </c>
      <c r="F34" s="125">
        <f>'C. diff CFUs'!Y2</f>
        <v>0</v>
      </c>
      <c r="G34" s="130">
        <f>'C. diff CFUs'!C2</f>
        <v>43586</v>
      </c>
      <c r="H34" s="24" t="s">
        <v>225</v>
      </c>
    </row>
    <row r="35" spans="1:10">
      <c r="A35" s="17" t="s">
        <v>74</v>
      </c>
      <c r="B35" s="17" t="s">
        <v>122</v>
      </c>
      <c r="C35" s="17" t="s">
        <v>41</v>
      </c>
      <c r="D35" s="17">
        <v>0</v>
      </c>
      <c r="E35" s="13">
        <f>'Daily Weight '!I3</f>
        <v>25.6</v>
      </c>
      <c r="F35" s="125">
        <f>'C. diff CFUs'!Y3</f>
        <v>0</v>
      </c>
      <c r="G35" s="130">
        <f>'C. diff CFUs'!C3</f>
        <v>43586</v>
      </c>
      <c r="H35" s="24" t="s">
        <v>225</v>
      </c>
    </row>
    <row r="36" spans="1:10">
      <c r="A36" s="25" t="s">
        <v>28</v>
      </c>
      <c r="B36" s="25" t="s">
        <v>123</v>
      </c>
      <c r="C36" s="25" t="s">
        <v>40</v>
      </c>
      <c r="D36" s="17">
        <v>0</v>
      </c>
      <c r="E36" s="13">
        <f>'Daily Weight '!I4</f>
        <v>23.6</v>
      </c>
      <c r="F36" s="125">
        <f>'C. diff CFUs'!Y4</f>
        <v>0</v>
      </c>
      <c r="G36" s="130">
        <f>'C. diff CFUs'!C4</f>
        <v>43586</v>
      </c>
      <c r="H36" s="24" t="s">
        <v>225</v>
      </c>
    </row>
    <row r="37" spans="1:10">
      <c r="A37" s="25" t="s">
        <v>28</v>
      </c>
      <c r="B37" s="25" t="s">
        <v>124</v>
      </c>
      <c r="C37" s="25" t="s">
        <v>41</v>
      </c>
      <c r="D37" s="17">
        <v>0</v>
      </c>
      <c r="E37" s="13">
        <f>'Daily Weight '!I5</f>
        <v>23.6</v>
      </c>
      <c r="F37" s="125">
        <f>'C. diff CFUs'!Y5</f>
        <v>0</v>
      </c>
      <c r="G37" s="130">
        <f>'C. diff CFUs'!C5</f>
        <v>43586</v>
      </c>
      <c r="H37" s="24" t="s">
        <v>225</v>
      </c>
    </row>
    <row r="38" spans="1:10">
      <c r="A38" s="23" t="s">
        <v>83</v>
      </c>
      <c r="B38" s="23" t="s">
        <v>125</v>
      </c>
      <c r="C38" s="23" t="s">
        <v>40</v>
      </c>
      <c r="D38" s="17">
        <v>0</v>
      </c>
      <c r="E38" s="13">
        <f>'Daily Weight '!I6</f>
        <v>26.1</v>
      </c>
      <c r="F38" s="125">
        <f>'C. diff CFUs'!Y6</f>
        <v>0</v>
      </c>
      <c r="G38" s="130">
        <f>'C. diff CFUs'!C6</f>
        <v>43586</v>
      </c>
      <c r="H38" s="24" t="s">
        <v>225</v>
      </c>
    </row>
    <row r="39" spans="1:10">
      <c r="A39" s="23" t="s">
        <v>83</v>
      </c>
      <c r="B39" s="23" t="s">
        <v>126</v>
      </c>
      <c r="C39" s="23" t="s">
        <v>41</v>
      </c>
      <c r="D39" s="17">
        <v>0</v>
      </c>
      <c r="E39" s="13">
        <f>'Daily Weight '!I7</f>
        <v>25.1</v>
      </c>
      <c r="F39" s="125">
        <f>'C. diff CFUs'!Y7</f>
        <v>0</v>
      </c>
      <c r="G39" s="130">
        <f>'C. diff CFUs'!C7</f>
        <v>43586</v>
      </c>
      <c r="H39" s="24" t="s">
        <v>225</v>
      </c>
    </row>
    <row r="40" spans="1:10">
      <c r="A40" s="25" t="s">
        <v>8</v>
      </c>
      <c r="B40" s="25" t="s">
        <v>127</v>
      </c>
      <c r="C40" s="25" t="s">
        <v>40</v>
      </c>
      <c r="D40" s="17">
        <v>0</v>
      </c>
      <c r="E40" s="13">
        <f>'Daily Weight '!I8</f>
        <v>26.9</v>
      </c>
      <c r="F40" s="125">
        <f>'C. diff CFUs'!Y8</f>
        <v>0</v>
      </c>
      <c r="G40" s="130">
        <f>'C. diff CFUs'!C8</f>
        <v>43586</v>
      </c>
      <c r="H40" s="24" t="s">
        <v>225</v>
      </c>
    </row>
    <row r="41" spans="1:10" ht="17" thickBot="1">
      <c r="A41" s="121" t="s">
        <v>8</v>
      </c>
      <c r="B41" s="25" t="s">
        <v>128</v>
      </c>
      <c r="C41" s="121" t="s">
        <v>41</v>
      </c>
      <c r="D41" s="122">
        <v>0</v>
      </c>
      <c r="E41" s="13">
        <f>'Daily Weight '!I9</f>
        <v>24.74</v>
      </c>
      <c r="F41" s="125">
        <f>'C. diff CFUs'!Y9</f>
        <v>0</v>
      </c>
      <c r="G41" s="130">
        <f>'C. diff CFUs'!C9</f>
        <v>43586</v>
      </c>
      <c r="H41" s="24" t="s">
        <v>225</v>
      </c>
    </row>
    <row r="42" spans="1:10">
      <c r="A42" s="23" t="s">
        <v>74</v>
      </c>
      <c r="B42" s="17" t="s">
        <v>121</v>
      </c>
      <c r="C42" s="17" t="s">
        <v>40</v>
      </c>
      <c r="D42" s="17">
        <v>1</v>
      </c>
      <c r="E42" s="13">
        <f>'Daily Weight '!J2</f>
        <v>26.5</v>
      </c>
      <c r="F42" s="125">
        <f>'C. diff CFUs'!Y10</f>
        <v>81000000</v>
      </c>
      <c r="G42" s="130">
        <f>'C. diff CFUs'!C10</f>
        <v>43587</v>
      </c>
      <c r="H42" s="24" t="s">
        <v>225</v>
      </c>
    </row>
    <row r="43" spans="1:10">
      <c r="A43" s="17" t="s">
        <v>74</v>
      </c>
      <c r="B43" s="17" t="s">
        <v>122</v>
      </c>
      <c r="C43" s="17" t="s">
        <v>41</v>
      </c>
      <c r="D43" s="17">
        <v>1</v>
      </c>
      <c r="E43" s="13">
        <f>'Daily Weight '!J3</f>
        <v>25.3</v>
      </c>
      <c r="F43" s="125">
        <f>'C. diff CFUs'!Y11</f>
        <v>53000000</v>
      </c>
      <c r="G43" s="130">
        <f>'C. diff CFUs'!C11</f>
        <v>43587</v>
      </c>
      <c r="H43" s="24" t="s">
        <v>225</v>
      </c>
    </row>
    <row r="44" spans="1:10">
      <c r="A44" s="25" t="s">
        <v>28</v>
      </c>
      <c r="B44" s="25" t="s">
        <v>123</v>
      </c>
      <c r="C44" s="25" t="s">
        <v>40</v>
      </c>
      <c r="D44" s="17">
        <v>1</v>
      </c>
      <c r="E44" s="13">
        <f>'Daily Weight '!J4</f>
        <v>23.8</v>
      </c>
      <c r="F44" s="125">
        <f>'C. diff CFUs'!Y12</f>
        <v>38000</v>
      </c>
      <c r="G44" s="130">
        <f>'C. diff CFUs'!C12</f>
        <v>43587</v>
      </c>
      <c r="H44" s="24" t="s">
        <v>225</v>
      </c>
    </row>
    <row r="45" spans="1:10">
      <c r="A45" s="25" t="s">
        <v>28</v>
      </c>
      <c r="B45" s="25" t="s">
        <v>124</v>
      </c>
      <c r="C45" s="25" t="s">
        <v>41</v>
      </c>
      <c r="D45" s="17">
        <v>1</v>
      </c>
      <c r="E45" s="13">
        <f>'Daily Weight '!J5</f>
        <v>24.8</v>
      </c>
      <c r="F45" s="125">
        <f>'C. diff CFUs'!Y13</f>
        <v>24100000</v>
      </c>
      <c r="G45" s="130">
        <f>'C. diff CFUs'!C13</f>
        <v>43587</v>
      </c>
      <c r="H45" s="24" t="s">
        <v>225</v>
      </c>
      <c r="I45" t="s">
        <v>210</v>
      </c>
    </row>
    <row r="46" spans="1:10">
      <c r="A46" s="23" t="s">
        <v>83</v>
      </c>
      <c r="B46" s="23" t="s">
        <v>125</v>
      </c>
      <c r="C46" s="23" t="s">
        <v>40</v>
      </c>
      <c r="D46" s="17">
        <v>1</v>
      </c>
      <c r="E46" s="13">
        <f>'Daily Weight '!J6</f>
        <v>25.8</v>
      </c>
      <c r="F46" s="125">
        <f>'C. diff CFUs'!Y14</f>
        <v>27999999.999999996</v>
      </c>
      <c r="G46" s="130">
        <f>'C. diff CFUs'!C14</f>
        <v>43587</v>
      </c>
      <c r="H46" s="24" t="s">
        <v>225</v>
      </c>
      <c r="J46" t="s">
        <v>214</v>
      </c>
    </row>
    <row r="47" spans="1:10">
      <c r="A47" s="23" t="s">
        <v>83</v>
      </c>
      <c r="B47" s="23" t="s">
        <v>126</v>
      </c>
      <c r="C47" s="23" t="s">
        <v>41</v>
      </c>
      <c r="D47" s="17">
        <v>1</v>
      </c>
      <c r="E47" s="13">
        <f>'Daily Weight '!J7</f>
        <v>24.8</v>
      </c>
      <c r="F47" s="125">
        <f>'C. diff CFUs'!Y15</f>
        <v>43600000</v>
      </c>
      <c r="G47" s="130">
        <f>'C. diff CFUs'!C15</f>
        <v>43587</v>
      </c>
      <c r="H47" s="24" t="s">
        <v>225</v>
      </c>
      <c r="I47" t="s">
        <v>211</v>
      </c>
    </row>
    <row r="48" spans="1:10">
      <c r="A48" s="25" t="s">
        <v>8</v>
      </c>
      <c r="B48" s="25" t="s">
        <v>127</v>
      </c>
      <c r="C48" s="25" t="s">
        <v>40</v>
      </c>
      <c r="D48" s="17">
        <v>1</v>
      </c>
      <c r="E48" s="13">
        <f>'Daily Weight '!J8</f>
        <v>26</v>
      </c>
      <c r="F48" s="125">
        <f>'C. diff CFUs'!Y16</f>
        <v>32846711.956521735</v>
      </c>
      <c r="G48" s="130">
        <f>'C. diff CFUs'!C16</f>
        <v>43587</v>
      </c>
      <c r="H48" s="24" t="s">
        <v>225</v>
      </c>
      <c r="J48" t="s">
        <v>215</v>
      </c>
    </row>
    <row r="49" spans="1:10" ht="17" thickBot="1">
      <c r="A49" s="121" t="s">
        <v>8</v>
      </c>
      <c r="B49" s="25" t="s">
        <v>128</v>
      </c>
      <c r="C49" s="121" t="s">
        <v>41</v>
      </c>
      <c r="D49" s="122">
        <v>1</v>
      </c>
      <c r="E49" s="13">
        <f>'Daily Weight '!J9</f>
        <v>24.6</v>
      </c>
      <c r="F49" s="125">
        <f>'C. diff CFUs'!Y17</f>
        <v>29071145.038167946</v>
      </c>
      <c r="G49" s="130">
        <f>'C. diff CFUs'!C17</f>
        <v>43587</v>
      </c>
      <c r="H49" s="24" t="s">
        <v>225</v>
      </c>
      <c r="I49" t="s">
        <v>212</v>
      </c>
    </row>
    <row r="50" spans="1:10">
      <c r="A50" s="23" t="s">
        <v>74</v>
      </c>
      <c r="B50" s="17" t="s">
        <v>121</v>
      </c>
      <c r="C50" s="17" t="s">
        <v>40</v>
      </c>
      <c r="D50" s="17">
        <v>2</v>
      </c>
      <c r="E50" s="13">
        <f>'Daily Weight '!K2</f>
        <v>24.1</v>
      </c>
      <c r="F50" s="125">
        <f>'C. diff CFUs'!Y18</f>
        <v>212000000</v>
      </c>
      <c r="G50" s="130">
        <f>'C. diff CFUs'!C18</f>
        <v>43588</v>
      </c>
      <c r="H50" s="24" t="s">
        <v>225</v>
      </c>
      <c r="J50" t="s">
        <v>216</v>
      </c>
    </row>
    <row r="51" spans="1:10">
      <c r="A51" s="17" t="s">
        <v>74</v>
      </c>
      <c r="B51" s="17" t="s">
        <v>122</v>
      </c>
      <c r="C51" s="17" t="s">
        <v>41</v>
      </c>
      <c r="D51" s="17">
        <v>2</v>
      </c>
      <c r="E51" s="13">
        <f>'Daily Weight '!K3</f>
        <v>22</v>
      </c>
      <c r="F51" s="125" t="str">
        <f>'C. diff CFUs'!Y19</f>
        <v>NA</v>
      </c>
      <c r="G51" s="130">
        <f>'C. diff CFUs'!C19</f>
        <v>43588</v>
      </c>
      <c r="H51" s="24" t="s">
        <v>225</v>
      </c>
      <c r="I51" t="s">
        <v>213</v>
      </c>
    </row>
    <row r="52" spans="1:10">
      <c r="A52" s="25" t="s">
        <v>28</v>
      </c>
      <c r="B52" s="25" t="s">
        <v>123</v>
      </c>
      <c r="C52" s="25" t="s">
        <v>40</v>
      </c>
      <c r="D52" s="17">
        <v>2</v>
      </c>
      <c r="E52" s="13">
        <f>'Daily Weight '!K4</f>
        <v>24</v>
      </c>
      <c r="F52" s="125">
        <f>'C. diff CFUs'!Y20</f>
        <v>1100</v>
      </c>
      <c r="G52" s="130">
        <f>'C. diff CFUs'!C20</f>
        <v>43588</v>
      </c>
      <c r="H52" s="24" t="s">
        <v>225</v>
      </c>
      <c r="J52" t="s">
        <v>217</v>
      </c>
    </row>
    <row r="53" spans="1:10">
      <c r="A53" s="25" t="s">
        <v>28</v>
      </c>
      <c r="B53" s="25" t="s">
        <v>124</v>
      </c>
      <c r="C53" s="25" t="s">
        <v>41</v>
      </c>
      <c r="D53" s="17">
        <v>2</v>
      </c>
      <c r="E53" s="13">
        <f>'Daily Weight '!K5</f>
        <v>25.3</v>
      </c>
      <c r="F53" s="125">
        <f>'C. diff CFUs'!Y21</f>
        <v>230666.66666666666</v>
      </c>
      <c r="G53" s="130">
        <f>'C. diff CFUs'!C21</f>
        <v>43588</v>
      </c>
      <c r="H53" s="24" t="s">
        <v>225</v>
      </c>
    </row>
    <row r="54" spans="1:10">
      <c r="A54" s="23" t="s">
        <v>83</v>
      </c>
      <c r="B54" s="23" t="s">
        <v>125</v>
      </c>
      <c r="C54" s="23" t="s">
        <v>40</v>
      </c>
      <c r="D54" s="17">
        <v>2</v>
      </c>
      <c r="E54" s="13">
        <f>'Daily Weight '!K6</f>
        <v>23.7</v>
      </c>
      <c r="F54" s="125">
        <f>'C. diff CFUs'!Y22</f>
        <v>68000000</v>
      </c>
      <c r="G54" s="130">
        <f>'C. diff CFUs'!C22</f>
        <v>43588</v>
      </c>
      <c r="H54" s="24" t="s">
        <v>225</v>
      </c>
      <c r="I54" t="s">
        <v>221</v>
      </c>
    </row>
    <row r="55" spans="1:10">
      <c r="A55" s="23" t="s">
        <v>83</v>
      </c>
      <c r="B55" s="23" t="s">
        <v>126</v>
      </c>
      <c r="C55" s="23" t="s">
        <v>41</v>
      </c>
      <c r="D55" s="17">
        <v>2</v>
      </c>
      <c r="E55" s="13">
        <f>'Daily Weight '!K7</f>
        <v>23</v>
      </c>
      <c r="F55" s="125">
        <f>'C. diff CFUs'!Y23</f>
        <v>69000000</v>
      </c>
      <c r="G55" s="130">
        <f>'C. diff CFUs'!C23</f>
        <v>43588</v>
      </c>
      <c r="H55" s="24" t="s">
        <v>225</v>
      </c>
      <c r="J55" t="s">
        <v>222</v>
      </c>
    </row>
    <row r="56" spans="1:10">
      <c r="A56" s="25" t="s">
        <v>8</v>
      </c>
      <c r="B56" s="25" t="s">
        <v>127</v>
      </c>
      <c r="C56" s="25" t="s">
        <v>40</v>
      </c>
      <c r="D56" s="17">
        <v>2</v>
      </c>
      <c r="E56" s="13">
        <f>'Daily Weight '!K8</f>
        <v>24.9</v>
      </c>
      <c r="F56" s="125">
        <f>'C. diff CFUs'!Y24</f>
        <v>30400000</v>
      </c>
      <c r="G56" s="130">
        <f>'C. diff CFUs'!C24</f>
        <v>43588</v>
      </c>
      <c r="H56" s="24" t="s">
        <v>225</v>
      </c>
      <c r="J56" t="s">
        <v>223</v>
      </c>
    </row>
    <row r="57" spans="1:10" ht="17" thickBot="1">
      <c r="A57" s="121" t="s">
        <v>8</v>
      </c>
      <c r="B57" s="25" t="s">
        <v>128</v>
      </c>
      <c r="C57" s="121" t="s">
        <v>41</v>
      </c>
      <c r="D57" s="122">
        <v>2</v>
      </c>
      <c r="E57" s="13">
        <f>'Daily Weight '!K9</f>
        <v>23.9</v>
      </c>
      <c r="F57" s="125">
        <f>'C. diff CFUs'!Y25</f>
        <v>178000000</v>
      </c>
      <c r="G57" s="130">
        <f>'C. diff CFUs'!C25</f>
        <v>43588</v>
      </c>
      <c r="H57" s="24" t="s">
        <v>225</v>
      </c>
    </row>
    <row r="58" spans="1:10">
      <c r="A58" s="23" t="s">
        <v>74</v>
      </c>
      <c r="B58" s="17" t="s">
        <v>121</v>
      </c>
      <c r="C58" s="17" t="s">
        <v>40</v>
      </c>
      <c r="D58" s="17">
        <v>3</v>
      </c>
      <c r="E58" s="13">
        <f>'Daily Weight '!L2</f>
        <v>24.8</v>
      </c>
      <c r="F58" s="125">
        <f>'C. diff CFUs'!Y26</f>
        <v>55800000</v>
      </c>
      <c r="G58" s="130">
        <f>'C. diff CFUs'!C26</f>
        <v>43589</v>
      </c>
      <c r="H58" s="24" t="s">
        <v>225</v>
      </c>
    </row>
    <row r="59" spans="1:10">
      <c r="A59" s="17" t="s">
        <v>74</v>
      </c>
      <c r="B59" s="17" t="s">
        <v>122</v>
      </c>
      <c r="C59" s="17" t="s">
        <v>41</v>
      </c>
      <c r="D59" s="17">
        <v>3</v>
      </c>
      <c r="E59" s="13">
        <f>'Daily Weight '!L3</f>
        <v>22.1</v>
      </c>
      <c r="F59" s="125">
        <f>'C. diff CFUs'!Y27</f>
        <v>178000000</v>
      </c>
      <c r="G59" s="130">
        <f>'C. diff CFUs'!C27</f>
        <v>43589</v>
      </c>
      <c r="H59" s="24" t="s">
        <v>225</v>
      </c>
    </row>
    <row r="60" spans="1:10">
      <c r="A60" s="25" t="s">
        <v>28</v>
      </c>
      <c r="B60" s="25" t="s">
        <v>123</v>
      </c>
      <c r="C60" s="25" t="s">
        <v>40</v>
      </c>
      <c r="D60" s="17">
        <v>3</v>
      </c>
      <c r="E60" s="13">
        <f>'Daily Weight '!L4</f>
        <v>24.5</v>
      </c>
      <c r="F60" s="125">
        <f>'C. diff CFUs'!Y28</f>
        <v>400</v>
      </c>
      <c r="G60" s="130">
        <f>'C. diff CFUs'!C28</f>
        <v>43589</v>
      </c>
      <c r="H60" s="24" t="s">
        <v>225</v>
      </c>
    </row>
    <row r="61" spans="1:10">
      <c r="A61" s="25" t="s">
        <v>28</v>
      </c>
      <c r="B61" s="25" t="s">
        <v>124</v>
      </c>
      <c r="C61" s="25" t="s">
        <v>41</v>
      </c>
      <c r="D61" s="17">
        <v>3</v>
      </c>
      <c r="E61" s="13">
        <f>'Daily Weight '!L5</f>
        <v>25.7</v>
      </c>
      <c r="F61" s="125">
        <f>'C. diff CFUs'!Y29</f>
        <v>15333.333333333334</v>
      </c>
      <c r="G61" s="130">
        <f>'C. diff CFUs'!C29</f>
        <v>43589</v>
      </c>
      <c r="H61" s="24" t="s">
        <v>225</v>
      </c>
    </row>
    <row r="62" spans="1:10">
      <c r="A62" s="23" t="s">
        <v>83</v>
      </c>
      <c r="B62" s="23" t="s">
        <v>125</v>
      </c>
      <c r="C62" s="23" t="s">
        <v>40</v>
      </c>
      <c r="D62" s="17">
        <v>3</v>
      </c>
      <c r="E62" s="13">
        <f>'Daily Weight '!L6</f>
        <v>24.5</v>
      </c>
      <c r="F62" s="125">
        <f>'C. diff CFUs'!Y30</f>
        <v>9600000</v>
      </c>
      <c r="G62" s="130">
        <f>'C. diff CFUs'!C30</f>
        <v>43589</v>
      </c>
      <c r="H62" s="24" t="s">
        <v>225</v>
      </c>
    </row>
    <row r="63" spans="1:10">
      <c r="A63" s="23" t="s">
        <v>83</v>
      </c>
      <c r="B63" s="23" t="s">
        <v>126</v>
      </c>
      <c r="C63" s="23" t="s">
        <v>41</v>
      </c>
      <c r="D63" s="17">
        <v>3</v>
      </c>
      <c r="E63" s="13">
        <f>'Daily Weight '!L7</f>
        <v>22</v>
      </c>
      <c r="F63" s="125">
        <f>'C. diff CFUs'!Y31</f>
        <v>2069999.9999999998</v>
      </c>
      <c r="G63" s="130">
        <f>'C. diff CFUs'!C31</f>
        <v>43589</v>
      </c>
      <c r="H63" s="24" t="s">
        <v>225</v>
      </c>
    </row>
    <row r="64" spans="1:10">
      <c r="A64" s="25" t="s">
        <v>8</v>
      </c>
      <c r="B64" s="25" t="s">
        <v>127</v>
      </c>
      <c r="C64" s="25" t="s">
        <v>40</v>
      </c>
      <c r="D64" s="17">
        <v>3</v>
      </c>
      <c r="E64" s="13">
        <f>'Daily Weight '!L8</f>
        <v>24</v>
      </c>
      <c r="F64" s="125">
        <f>'C. diff CFUs'!Y32</f>
        <v>5540000</v>
      </c>
      <c r="G64" s="130">
        <f>'C. diff CFUs'!C32</f>
        <v>43589</v>
      </c>
      <c r="H64" s="24" t="s">
        <v>225</v>
      </c>
    </row>
    <row r="65" spans="1:8" ht="17" thickBot="1">
      <c r="A65" s="121" t="s">
        <v>8</v>
      </c>
      <c r="B65" s="25" t="s">
        <v>128</v>
      </c>
      <c r="C65" s="121" t="s">
        <v>41</v>
      </c>
      <c r="D65" s="122">
        <v>3</v>
      </c>
      <c r="E65" s="13">
        <f>'Daily Weight '!L9</f>
        <v>23.3</v>
      </c>
      <c r="F65" s="125">
        <f>'C. diff CFUs'!Y33</f>
        <v>9555000</v>
      </c>
      <c r="G65" s="130">
        <f>'C. diff CFUs'!C33</f>
        <v>43589</v>
      </c>
      <c r="H65" s="24" t="s">
        <v>225</v>
      </c>
    </row>
    <row r="66" spans="1:8">
      <c r="A66" s="23" t="s">
        <v>74</v>
      </c>
      <c r="B66" s="17" t="s">
        <v>121</v>
      </c>
      <c r="C66" s="17" t="s">
        <v>40</v>
      </c>
      <c r="D66" s="17">
        <v>4</v>
      </c>
      <c r="E66" s="13">
        <f>'Daily Weight '!M2</f>
        <v>24.5</v>
      </c>
      <c r="F66" s="125">
        <f>'C. diff CFUs'!Y34</f>
        <v>107999999.99999999</v>
      </c>
      <c r="G66" s="130">
        <f>'C. diff CFUs'!C34</f>
        <v>43590</v>
      </c>
      <c r="H66" s="24" t="s">
        <v>225</v>
      </c>
    </row>
    <row r="67" spans="1:8">
      <c r="A67" s="17" t="s">
        <v>74</v>
      </c>
      <c r="B67" s="17" t="s">
        <v>122</v>
      </c>
      <c r="C67" s="17" t="s">
        <v>41</v>
      </c>
      <c r="D67" s="17">
        <v>4</v>
      </c>
      <c r="E67" s="13">
        <f>'Daily Weight '!M3</f>
        <v>23.9</v>
      </c>
      <c r="F67" s="125">
        <f>'C. diff CFUs'!Y35</f>
        <v>27066666.666666668</v>
      </c>
      <c r="G67" s="130">
        <f>'C. diff CFUs'!C35</f>
        <v>43590</v>
      </c>
      <c r="H67" s="24" t="s">
        <v>225</v>
      </c>
    </row>
    <row r="68" spans="1:8">
      <c r="A68" s="25" t="s">
        <v>28</v>
      </c>
      <c r="B68" s="25" t="s">
        <v>123</v>
      </c>
      <c r="C68" s="25" t="s">
        <v>40</v>
      </c>
      <c r="D68" s="17">
        <v>4</v>
      </c>
      <c r="E68" s="13">
        <f>'Daily Weight '!M4</f>
        <v>24.6</v>
      </c>
      <c r="F68" s="125">
        <f>'C. diff CFUs'!Y36</f>
        <v>0</v>
      </c>
      <c r="G68" s="130">
        <f>'C. diff CFUs'!C36</f>
        <v>43590</v>
      </c>
      <c r="H68" s="24" t="s">
        <v>225</v>
      </c>
    </row>
    <row r="69" spans="1:8">
      <c r="A69" s="25" t="s">
        <v>28</v>
      </c>
      <c r="B69" s="25" t="s">
        <v>124</v>
      </c>
      <c r="C69" s="25" t="s">
        <v>41</v>
      </c>
      <c r="D69" s="17">
        <v>4</v>
      </c>
      <c r="E69" s="13">
        <f>'Daily Weight '!M5</f>
        <v>26</v>
      </c>
      <c r="F69" s="125">
        <f>'C. diff CFUs'!Y37</f>
        <v>0</v>
      </c>
      <c r="G69" s="130">
        <f>'C. diff CFUs'!C37</f>
        <v>43590</v>
      </c>
      <c r="H69" s="24" t="s">
        <v>225</v>
      </c>
    </row>
    <row r="70" spans="1:8">
      <c r="A70" s="23" t="s">
        <v>83</v>
      </c>
      <c r="B70" s="23" t="s">
        <v>125</v>
      </c>
      <c r="C70" s="23" t="s">
        <v>40</v>
      </c>
      <c r="D70" s="17">
        <v>4</v>
      </c>
      <c r="E70" s="13">
        <f>'Daily Weight '!M6</f>
        <v>25</v>
      </c>
      <c r="F70" s="125">
        <f>'C. diff CFUs'!Y38</f>
        <v>35500</v>
      </c>
      <c r="G70" s="130">
        <f>'C. diff CFUs'!C38</f>
        <v>43590</v>
      </c>
      <c r="H70" s="24" t="s">
        <v>225</v>
      </c>
    </row>
    <row r="71" spans="1:8">
      <c r="A71" s="23" t="s">
        <v>83</v>
      </c>
      <c r="B71" s="23" t="s">
        <v>126</v>
      </c>
      <c r="C71" s="23" t="s">
        <v>41</v>
      </c>
      <c r="D71" s="17">
        <v>4</v>
      </c>
      <c r="E71" s="13">
        <f>'Daily Weight '!M7</f>
        <v>23.2</v>
      </c>
      <c r="F71" s="125">
        <f>'C. diff CFUs'!Y39</f>
        <v>156500</v>
      </c>
      <c r="G71" s="130">
        <f>'C. diff CFUs'!C39</f>
        <v>43590</v>
      </c>
      <c r="H71" s="24" t="s">
        <v>225</v>
      </c>
    </row>
    <row r="72" spans="1:8">
      <c r="A72" s="25" t="s">
        <v>8</v>
      </c>
      <c r="B72" s="25" t="s">
        <v>127</v>
      </c>
      <c r="C72" s="25" t="s">
        <v>40</v>
      </c>
      <c r="D72" s="17">
        <v>4</v>
      </c>
      <c r="E72" s="13">
        <f>'Daily Weight '!M8</f>
        <v>25.2</v>
      </c>
      <c r="F72" s="125">
        <f>'C. diff CFUs'!Y40</f>
        <v>23100000</v>
      </c>
      <c r="G72" s="130">
        <f>'C. diff CFUs'!C40</f>
        <v>43590</v>
      </c>
      <c r="H72" s="24" t="s">
        <v>225</v>
      </c>
    </row>
    <row r="73" spans="1:8" ht="17" thickBot="1">
      <c r="A73" s="121" t="s">
        <v>8</v>
      </c>
      <c r="B73" s="25" t="s">
        <v>128</v>
      </c>
      <c r="C73" s="121" t="s">
        <v>41</v>
      </c>
      <c r="D73" s="122">
        <v>4</v>
      </c>
      <c r="E73" s="13">
        <f>'Daily Weight '!M9</f>
        <v>23.8</v>
      </c>
      <c r="F73" s="125">
        <f>'C. diff CFUs'!Y41</f>
        <v>2593333.3333333335</v>
      </c>
      <c r="G73" s="130">
        <f>'C. diff CFUs'!C41</f>
        <v>43590</v>
      </c>
      <c r="H73" s="24" t="s">
        <v>225</v>
      </c>
    </row>
    <row r="74" spans="1:8">
      <c r="A74" s="23" t="s">
        <v>74</v>
      </c>
      <c r="B74" s="17" t="s">
        <v>121</v>
      </c>
      <c r="C74" s="17" t="s">
        <v>40</v>
      </c>
      <c r="D74" s="17">
        <v>5</v>
      </c>
      <c r="E74" s="13">
        <f>'Daily Weight '!N2</f>
        <v>25.1</v>
      </c>
      <c r="F74" s="125">
        <f>'C. diff CFUs'!Y42</f>
        <v>63999999.999999993</v>
      </c>
      <c r="G74" s="130">
        <f>'C. diff CFUs'!C42</f>
        <v>43591</v>
      </c>
      <c r="H74" s="24" t="s">
        <v>225</v>
      </c>
    </row>
    <row r="75" spans="1:8">
      <c r="A75" s="17" t="s">
        <v>74</v>
      </c>
      <c r="B75" s="17" t="s">
        <v>122</v>
      </c>
      <c r="C75" s="17" t="s">
        <v>41</v>
      </c>
      <c r="D75" s="17">
        <v>5</v>
      </c>
      <c r="E75" s="13">
        <f>'Daily Weight '!N3</f>
        <v>24.1</v>
      </c>
      <c r="F75" s="125">
        <f>'C. diff CFUs'!Y43</f>
        <v>43533333.333333336</v>
      </c>
      <c r="G75" s="130">
        <f>'C. diff CFUs'!C43</f>
        <v>43591</v>
      </c>
      <c r="H75" s="24" t="s">
        <v>225</v>
      </c>
    </row>
    <row r="76" spans="1:8">
      <c r="A76" s="25" t="s">
        <v>28</v>
      </c>
      <c r="B76" s="25" t="s">
        <v>123</v>
      </c>
      <c r="C76" s="25" t="s">
        <v>40</v>
      </c>
      <c r="D76" s="17">
        <v>5</v>
      </c>
      <c r="E76" s="13">
        <f>'Daily Weight '!N4</f>
        <v>24.7</v>
      </c>
      <c r="F76" s="125">
        <f>'C. diff CFUs'!Y44</f>
        <v>0</v>
      </c>
      <c r="G76" s="130">
        <f>'C. diff CFUs'!C44</f>
        <v>43591</v>
      </c>
      <c r="H76" s="24" t="s">
        <v>225</v>
      </c>
    </row>
    <row r="77" spans="1:8">
      <c r="A77" s="25" t="s">
        <v>28</v>
      </c>
      <c r="B77" s="25" t="s">
        <v>124</v>
      </c>
      <c r="C77" s="25" t="s">
        <v>41</v>
      </c>
      <c r="D77" s="17">
        <v>5</v>
      </c>
      <c r="E77" s="13">
        <f>'Daily Weight '!N5</f>
        <v>26.3</v>
      </c>
      <c r="F77" s="125">
        <f>'C. diff CFUs'!Y45</f>
        <v>0</v>
      </c>
      <c r="G77" s="130">
        <f>'C. diff CFUs'!C45</f>
        <v>43591</v>
      </c>
      <c r="H77" s="24" t="s">
        <v>225</v>
      </c>
    </row>
    <row r="78" spans="1:8">
      <c r="A78" s="23" t="s">
        <v>83</v>
      </c>
      <c r="B78" s="23" t="s">
        <v>125</v>
      </c>
      <c r="C78" s="23" t="s">
        <v>40</v>
      </c>
      <c r="D78" s="17">
        <v>5</v>
      </c>
      <c r="E78" s="13">
        <f>'Daily Weight '!N6</f>
        <v>25.6</v>
      </c>
      <c r="F78" s="125">
        <f>'C. diff CFUs'!Y46</f>
        <v>3300</v>
      </c>
      <c r="G78" s="130">
        <f>'C. diff CFUs'!C46</f>
        <v>43591</v>
      </c>
      <c r="H78" s="24" t="s">
        <v>225</v>
      </c>
    </row>
    <row r="79" spans="1:8">
      <c r="A79" s="23" t="s">
        <v>83</v>
      </c>
      <c r="B79" s="23" t="s">
        <v>126</v>
      </c>
      <c r="C79" s="23" t="s">
        <v>41</v>
      </c>
      <c r="D79" s="17">
        <v>5</v>
      </c>
      <c r="E79" s="13">
        <f>'Daily Weight '!N7</f>
        <v>24.4</v>
      </c>
      <c r="F79" s="125">
        <f>'C. diff CFUs'!Y47</f>
        <v>2200</v>
      </c>
      <c r="G79" s="130">
        <f>'C. diff CFUs'!C47</f>
        <v>43591</v>
      </c>
      <c r="H79" s="24" t="s">
        <v>225</v>
      </c>
    </row>
    <row r="80" spans="1:8">
      <c r="A80" s="25" t="s">
        <v>8</v>
      </c>
      <c r="B80" s="25" t="s">
        <v>127</v>
      </c>
      <c r="C80" s="25" t="s">
        <v>40</v>
      </c>
      <c r="D80" s="17">
        <v>5</v>
      </c>
      <c r="E80" s="13">
        <f>'Daily Weight '!N8</f>
        <v>26.1</v>
      </c>
      <c r="F80" s="125">
        <f>'C. diff CFUs'!Y48</f>
        <v>12700000</v>
      </c>
      <c r="G80" s="130">
        <f>'C. diff CFUs'!C48</f>
        <v>43591</v>
      </c>
      <c r="H80" s="24" t="s">
        <v>225</v>
      </c>
    </row>
    <row r="81" spans="1:8" ht="17" thickBot="1">
      <c r="A81" s="121" t="s">
        <v>8</v>
      </c>
      <c r="B81" s="25" t="s">
        <v>128</v>
      </c>
      <c r="C81" s="121" t="s">
        <v>41</v>
      </c>
      <c r="D81" s="122">
        <v>5</v>
      </c>
      <c r="E81" s="13">
        <f>'Daily Weight '!N9</f>
        <v>24.1</v>
      </c>
      <c r="F81" s="125">
        <f>'C. diff CFUs'!Y49</f>
        <v>14000</v>
      </c>
      <c r="G81" s="130">
        <f>'C. diff CFUs'!C49</f>
        <v>43591</v>
      </c>
      <c r="H81" s="24" t="s">
        <v>225</v>
      </c>
    </row>
    <row r="82" spans="1:8">
      <c r="A82" s="23" t="s">
        <v>74</v>
      </c>
      <c r="B82" s="17" t="s">
        <v>121</v>
      </c>
      <c r="C82" s="17" t="s">
        <v>40</v>
      </c>
      <c r="D82" s="17">
        <v>6</v>
      </c>
      <c r="E82" s="13">
        <f>'Daily Weight '!O2</f>
        <v>24.7</v>
      </c>
      <c r="F82" s="125">
        <f>'C. diff CFUs'!Y50</f>
        <v>52900000</v>
      </c>
      <c r="G82" s="130">
        <f>'C. diff CFUs'!C50</f>
        <v>43592</v>
      </c>
      <c r="H82" s="24" t="s">
        <v>225</v>
      </c>
    </row>
    <row r="83" spans="1:8">
      <c r="A83" s="17" t="s">
        <v>74</v>
      </c>
      <c r="B83" s="17" t="s">
        <v>122</v>
      </c>
      <c r="C83" s="17" t="s">
        <v>41</v>
      </c>
      <c r="D83" s="17">
        <v>6</v>
      </c>
      <c r="E83" s="13">
        <f>'Daily Weight '!O3</f>
        <v>23.8</v>
      </c>
      <c r="F83" s="125">
        <f>'C. diff CFUs'!Y51</f>
        <v>129000000</v>
      </c>
      <c r="G83" s="130">
        <f>'C. diff CFUs'!C51</f>
        <v>43592</v>
      </c>
      <c r="H83" s="24" t="s">
        <v>225</v>
      </c>
    </row>
    <row r="84" spans="1:8">
      <c r="A84" s="25" t="s">
        <v>28</v>
      </c>
      <c r="B84" s="25" t="s">
        <v>123</v>
      </c>
      <c r="C84" s="25" t="s">
        <v>40</v>
      </c>
      <c r="D84" s="17">
        <v>6</v>
      </c>
      <c r="E84" s="13">
        <f>'Daily Weight '!O4</f>
        <v>24.3</v>
      </c>
      <c r="F84" s="125">
        <f>'C. diff CFUs'!Y52</f>
        <v>0</v>
      </c>
      <c r="G84" s="130">
        <f>'C. diff CFUs'!C52</f>
        <v>43592</v>
      </c>
      <c r="H84" s="24" t="s">
        <v>225</v>
      </c>
    </row>
    <row r="85" spans="1:8">
      <c r="A85" s="25" t="s">
        <v>28</v>
      </c>
      <c r="B85" s="25" t="s">
        <v>124</v>
      </c>
      <c r="C85" s="25" t="s">
        <v>41</v>
      </c>
      <c r="D85" s="17">
        <v>6</v>
      </c>
      <c r="E85" s="13">
        <f>'Daily Weight '!O5</f>
        <v>26</v>
      </c>
      <c r="F85" s="125">
        <f>'C. diff CFUs'!Y53</f>
        <v>0</v>
      </c>
      <c r="G85" s="130">
        <f>'C. diff CFUs'!C53</f>
        <v>43592</v>
      </c>
      <c r="H85" s="24" t="s">
        <v>225</v>
      </c>
    </row>
    <row r="86" spans="1:8">
      <c r="A86" s="23" t="s">
        <v>83</v>
      </c>
      <c r="B86" s="23" t="s">
        <v>125</v>
      </c>
      <c r="C86" s="23" t="s">
        <v>40</v>
      </c>
      <c r="D86" s="17">
        <v>6</v>
      </c>
      <c r="E86" s="13">
        <f>'Daily Weight '!O6</f>
        <v>25.1</v>
      </c>
      <c r="F86" s="125">
        <f>'C. diff CFUs'!Y54</f>
        <v>200</v>
      </c>
      <c r="G86" s="130">
        <f>'C. diff CFUs'!C54</f>
        <v>43592</v>
      </c>
      <c r="H86" s="24" t="s">
        <v>225</v>
      </c>
    </row>
    <row r="87" spans="1:8">
      <c r="A87" s="23" t="s">
        <v>83</v>
      </c>
      <c r="B87" s="23" t="s">
        <v>126</v>
      </c>
      <c r="C87" s="23" t="s">
        <v>41</v>
      </c>
      <c r="D87" s="17">
        <v>6</v>
      </c>
      <c r="E87" s="13">
        <f>'Daily Weight '!O7</f>
        <v>24.1</v>
      </c>
      <c r="F87" s="125">
        <f>'C. diff CFUs'!Y55</f>
        <v>49100</v>
      </c>
      <c r="G87" s="130">
        <f>'C. diff CFUs'!C55</f>
        <v>43592</v>
      </c>
      <c r="H87" s="24" t="s">
        <v>225</v>
      </c>
    </row>
    <row r="88" spans="1:8">
      <c r="A88" s="25" t="s">
        <v>8</v>
      </c>
      <c r="B88" s="25" t="s">
        <v>127</v>
      </c>
      <c r="C88" s="25" t="s">
        <v>40</v>
      </c>
      <c r="D88" s="17">
        <v>6</v>
      </c>
      <c r="E88" s="13">
        <f>'Daily Weight '!O8</f>
        <v>29</v>
      </c>
      <c r="F88" s="125">
        <f>'C. diff CFUs'!Y56</f>
        <v>3039499.9999999995</v>
      </c>
      <c r="G88" s="130">
        <f>'C. diff CFUs'!C56</f>
        <v>43592</v>
      </c>
      <c r="H88" s="24" t="s">
        <v>225</v>
      </c>
    </row>
    <row r="89" spans="1:8" ht="17" thickBot="1">
      <c r="A89" s="121" t="s">
        <v>8</v>
      </c>
      <c r="B89" s="25" t="s">
        <v>128</v>
      </c>
      <c r="C89" s="121" t="s">
        <v>41</v>
      </c>
      <c r="D89" s="122">
        <v>6</v>
      </c>
      <c r="E89" s="13">
        <f>'Daily Weight '!O9</f>
        <v>24.1</v>
      </c>
      <c r="F89" s="125">
        <f>'C. diff CFUs'!Y57</f>
        <v>7666.666666666667</v>
      </c>
      <c r="G89" s="130">
        <f>'C. diff CFUs'!C57</f>
        <v>43592</v>
      </c>
      <c r="H89" s="24" t="s">
        <v>225</v>
      </c>
    </row>
    <row r="90" spans="1:8">
      <c r="A90" s="23" t="s">
        <v>74</v>
      </c>
      <c r="B90" s="17" t="s">
        <v>121</v>
      </c>
      <c r="C90" s="17" t="s">
        <v>40</v>
      </c>
      <c r="D90" s="17">
        <v>7</v>
      </c>
      <c r="E90" s="13">
        <f>'Daily Weight '!P2</f>
        <v>24.4</v>
      </c>
      <c r="F90" s="125">
        <f>'C. diff CFUs'!Y58</f>
        <v>27100000</v>
      </c>
      <c r="G90" s="130">
        <f>'C. diff CFUs'!C58</f>
        <v>43593</v>
      </c>
      <c r="H90" s="24" t="s">
        <v>225</v>
      </c>
    </row>
    <row r="91" spans="1:8">
      <c r="A91" s="17" t="s">
        <v>74</v>
      </c>
      <c r="B91" s="17" t="s">
        <v>122</v>
      </c>
      <c r="C91" s="17" t="s">
        <v>41</v>
      </c>
      <c r="D91" s="17">
        <v>7</v>
      </c>
      <c r="E91" s="13">
        <f>'Daily Weight '!P3</f>
        <v>24</v>
      </c>
      <c r="F91" s="125">
        <f>'C. diff CFUs'!Y59</f>
        <v>51466666.666666664</v>
      </c>
      <c r="G91" s="130">
        <f>'C. diff CFUs'!C59</f>
        <v>43593</v>
      </c>
      <c r="H91" s="24" t="s">
        <v>225</v>
      </c>
    </row>
    <row r="92" spans="1:8">
      <c r="A92" s="25" t="s">
        <v>28</v>
      </c>
      <c r="B92" s="25" t="s">
        <v>123</v>
      </c>
      <c r="C92" s="25" t="s">
        <v>40</v>
      </c>
      <c r="D92" s="17">
        <v>7</v>
      </c>
      <c r="E92" s="13">
        <f>'Daily Weight '!P4</f>
        <v>24.5</v>
      </c>
      <c r="F92" s="125">
        <f>'C. diff CFUs'!Y60</f>
        <v>0</v>
      </c>
      <c r="G92" s="130">
        <f>'C. diff CFUs'!C60</f>
        <v>43593</v>
      </c>
      <c r="H92" s="24" t="s">
        <v>225</v>
      </c>
    </row>
    <row r="93" spans="1:8">
      <c r="A93" s="25" t="s">
        <v>28</v>
      </c>
      <c r="B93" s="25" t="s">
        <v>124</v>
      </c>
      <c r="C93" s="25" t="s">
        <v>41</v>
      </c>
      <c r="D93" s="17">
        <v>7</v>
      </c>
      <c r="E93" s="13">
        <f>'Daily Weight '!P5</f>
        <v>26.5</v>
      </c>
      <c r="F93" s="125">
        <f>'C. diff CFUs'!Y61</f>
        <v>0</v>
      </c>
      <c r="G93" s="130">
        <f>'C. diff CFUs'!C61</f>
        <v>43593</v>
      </c>
      <c r="H93" s="24" t="s">
        <v>225</v>
      </c>
    </row>
    <row r="94" spans="1:8">
      <c r="A94" s="23" t="s">
        <v>83</v>
      </c>
      <c r="B94" s="23" t="s">
        <v>125</v>
      </c>
      <c r="C94" s="23" t="s">
        <v>40</v>
      </c>
      <c r="D94" s="17">
        <v>7</v>
      </c>
      <c r="E94" s="13">
        <f>'Daily Weight '!P6</f>
        <v>25</v>
      </c>
      <c r="F94" s="125">
        <f>'C. diff CFUs'!Y62</f>
        <v>0</v>
      </c>
      <c r="G94" s="130">
        <f>'C. diff CFUs'!C62</f>
        <v>43593</v>
      </c>
      <c r="H94" s="24" t="s">
        <v>225</v>
      </c>
    </row>
    <row r="95" spans="1:8">
      <c r="A95" s="23" t="s">
        <v>83</v>
      </c>
      <c r="B95" s="23" t="s">
        <v>126</v>
      </c>
      <c r="C95" s="23" t="s">
        <v>41</v>
      </c>
      <c r="D95" s="17">
        <v>7</v>
      </c>
      <c r="E95" s="13">
        <f>'Daily Weight '!P7</f>
        <v>24.3</v>
      </c>
      <c r="F95" s="125">
        <f>'C. diff CFUs'!Y63</f>
        <v>0</v>
      </c>
      <c r="G95" s="130">
        <f>'C. diff CFUs'!C63</f>
        <v>43593</v>
      </c>
      <c r="H95" s="24" t="s">
        <v>225</v>
      </c>
    </row>
    <row r="96" spans="1:8">
      <c r="A96" s="25" t="s">
        <v>8</v>
      </c>
      <c r="B96" s="25" t="s">
        <v>127</v>
      </c>
      <c r="C96" s="25" t="s">
        <v>40</v>
      </c>
      <c r="D96" s="17">
        <v>7</v>
      </c>
      <c r="E96" s="13">
        <f>'Daily Weight '!P8</f>
        <v>26.1</v>
      </c>
      <c r="F96" s="125">
        <f>'C. diff CFUs'!Y64</f>
        <v>200</v>
      </c>
      <c r="G96" s="130">
        <f>'C. diff CFUs'!C64</f>
        <v>43593</v>
      </c>
      <c r="H96" s="24" t="s">
        <v>225</v>
      </c>
    </row>
    <row r="97" spans="1:8" ht="17" thickBot="1">
      <c r="A97" s="121" t="s">
        <v>8</v>
      </c>
      <c r="B97" s="25" t="s">
        <v>128</v>
      </c>
      <c r="C97" s="121" t="s">
        <v>41</v>
      </c>
      <c r="D97" s="122">
        <v>7</v>
      </c>
      <c r="E97" s="13">
        <f>'Daily Weight '!P9</f>
        <v>23.8</v>
      </c>
      <c r="F97" s="125">
        <f>'C. diff CFUs'!Y65</f>
        <v>10200</v>
      </c>
      <c r="G97" s="130">
        <f>'C. diff CFUs'!C65</f>
        <v>43593</v>
      </c>
      <c r="H97" s="24" t="s">
        <v>225</v>
      </c>
    </row>
    <row r="98" spans="1:8">
      <c r="A98" s="23" t="s">
        <v>74</v>
      </c>
      <c r="B98" s="17" t="s">
        <v>121</v>
      </c>
      <c r="C98" s="17" t="s">
        <v>40</v>
      </c>
      <c r="D98" s="17">
        <v>8</v>
      </c>
      <c r="E98" s="13">
        <f>'Daily Weight '!Q2</f>
        <v>25.5</v>
      </c>
      <c r="F98" s="125">
        <f>'C. diff CFUs'!Y66</f>
        <v>110000000</v>
      </c>
      <c r="G98" s="130">
        <f>'C. diff CFUs'!C66</f>
        <v>43594</v>
      </c>
      <c r="H98" s="24" t="s">
        <v>225</v>
      </c>
    </row>
    <row r="99" spans="1:8">
      <c r="A99" s="17" t="s">
        <v>74</v>
      </c>
      <c r="B99" s="17" t="s">
        <v>122</v>
      </c>
      <c r="C99" s="17" t="s">
        <v>41</v>
      </c>
      <c r="D99" s="17">
        <v>8</v>
      </c>
      <c r="E99" s="13">
        <f>'Daily Weight '!Q3</f>
        <v>24</v>
      </c>
      <c r="F99" s="125">
        <f>'C. diff CFUs'!Y67</f>
        <v>216000000</v>
      </c>
      <c r="G99" s="130">
        <f>'C. diff CFUs'!C67</f>
        <v>43594</v>
      </c>
      <c r="H99" s="24" t="s">
        <v>225</v>
      </c>
    </row>
    <row r="100" spans="1:8">
      <c r="A100" s="25" t="s">
        <v>28</v>
      </c>
      <c r="B100" s="25" t="s">
        <v>123</v>
      </c>
      <c r="C100" s="25" t="s">
        <v>40</v>
      </c>
      <c r="D100" s="17">
        <v>8</v>
      </c>
      <c r="E100" s="13">
        <f>'Daily Weight '!Q4</f>
        <v>24.5</v>
      </c>
      <c r="F100" s="125">
        <f>'C. diff CFUs'!Y68</f>
        <v>0</v>
      </c>
      <c r="G100" s="130">
        <f>'C. diff CFUs'!C68</f>
        <v>43594</v>
      </c>
      <c r="H100" s="24" t="s">
        <v>225</v>
      </c>
    </row>
    <row r="101" spans="1:8">
      <c r="A101" s="25" t="s">
        <v>28</v>
      </c>
      <c r="B101" s="25" t="s">
        <v>124</v>
      </c>
      <c r="C101" s="25" t="s">
        <v>41</v>
      </c>
      <c r="D101" s="17">
        <v>8</v>
      </c>
      <c r="E101" s="13">
        <f>'Daily Weight '!Q5</f>
        <v>25.9</v>
      </c>
      <c r="F101" s="125">
        <f>'C. diff CFUs'!Y69</f>
        <v>0</v>
      </c>
      <c r="G101" s="130">
        <f>'C. diff CFUs'!C69</f>
        <v>43594</v>
      </c>
      <c r="H101" s="24" t="s">
        <v>225</v>
      </c>
    </row>
    <row r="102" spans="1:8">
      <c r="A102" s="23" t="s">
        <v>83</v>
      </c>
      <c r="B102" s="23" t="s">
        <v>125</v>
      </c>
      <c r="C102" s="23" t="s">
        <v>40</v>
      </c>
      <c r="D102" s="17">
        <v>8</v>
      </c>
      <c r="E102" s="13">
        <f>'Daily Weight '!Q6</f>
        <v>25</v>
      </c>
      <c r="F102" s="125">
        <f>'C. diff CFUs'!Y70</f>
        <v>0</v>
      </c>
      <c r="G102" s="130">
        <f>'C. diff CFUs'!C70</f>
        <v>43594</v>
      </c>
      <c r="H102" s="24" t="s">
        <v>225</v>
      </c>
    </row>
    <row r="103" spans="1:8">
      <c r="A103" s="23" t="s">
        <v>83</v>
      </c>
      <c r="B103" s="23" t="s">
        <v>126</v>
      </c>
      <c r="C103" s="23" t="s">
        <v>41</v>
      </c>
      <c r="D103" s="17">
        <v>8</v>
      </c>
      <c r="E103" s="13">
        <f>'Daily Weight '!Q7</f>
        <v>24</v>
      </c>
      <c r="F103" s="125">
        <f>'C. diff CFUs'!Y71</f>
        <v>0</v>
      </c>
      <c r="G103" s="130">
        <f>'C. diff CFUs'!C71</f>
        <v>43594</v>
      </c>
      <c r="H103" s="24" t="s">
        <v>225</v>
      </c>
    </row>
    <row r="104" spans="1:8">
      <c r="A104" s="25" t="s">
        <v>8</v>
      </c>
      <c r="B104" s="25" t="s">
        <v>127</v>
      </c>
      <c r="C104" s="25" t="s">
        <v>40</v>
      </c>
      <c r="D104" s="17">
        <v>8</v>
      </c>
      <c r="E104" s="13">
        <f>'Daily Weight '!Q8</f>
        <v>25.6</v>
      </c>
      <c r="F104" s="125">
        <f>'C. diff CFUs'!Y72</f>
        <v>0</v>
      </c>
      <c r="G104" s="130">
        <f>'C. diff CFUs'!C72</f>
        <v>43594</v>
      </c>
      <c r="H104" s="24" t="s">
        <v>225</v>
      </c>
    </row>
    <row r="105" spans="1:8" ht="17" thickBot="1">
      <c r="A105" s="121" t="s">
        <v>8</v>
      </c>
      <c r="B105" s="25" t="s">
        <v>128</v>
      </c>
      <c r="C105" s="121" t="s">
        <v>41</v>
      </c>
      <c r="D105" s="122">
        <v>8</v>
      </c>
      <c r="E105" s="13">
        <f>'Daily Weight '!Q9</f>
        <v>24.1</v>
      </c>
      <c r="F105" s="125">
        <f>'C. diff CFUs'!Y73</f>
        <v>0</v>
      </c>
      <c r="G105" s="130">
        <f>'C. diff CFUs'!C73</f>
        <v>43594</v>
      </c>
      <c r="H105" s="24" t="s">
        <v>225</v>
      </c>
    </row>
    <row r="106" spans="1:8">
      <c r="A106" s="23" t="s">
        <v>74</v>
      </c>
      <c r="B106" s="17" t="s">
        <v>121</v>
      </c>
      <c r="C106" s="17" t="s">
        <v>40</v>
      </c>
      <c r="D106" s="17">
        <v>9</v>
      </c>
      <c r="E106" s="13">
        <f>'Daily Weight '!R2</f>
        <v>25.4</v>
      </c>
      <c r="F106" s="125">
        <f>'C. diff CFUs'!Y74</f>
        <v>24000000</v>
      </c>
      <c r="G106" s="130">
        <f>'C. diff CFUs'!C74</f>
        <v>43595</v>
      </c>
      <c r="H106" s="24" t="s">
        <v>225</v>
      </c>
    </row>
    <row r="107" spans="1:8">
      <c r="A107" s="17" t="s">
        <v>74</v>
      </c>
      <c r="B107" s="17" t="s">
        <v>122</v>
      </c>
      <c r="C107" s="17" t="s">
        <v>41</v>
      </c>
      <c r="D107" s="17">
        <v>9</v>
      </c>
      <c r="E107" s="13">
        <f>'Daily Weight '!R3</f>
        <v>24.3</v>
      </c>
      <c r="F107" s="125">
        <f>'C. diff CFUs'!Y75</f>
        <v>54999999.999999993</v>
      </c>
      <c r="G107" s="130">
        <f>'C. diff CFUs'!C75</f>
        <v>43595</v>
      </c>
      <c r="H107" s="24" t="s">
        <v>225</v>
      </c>
    </row>
    <row r="108" spans="1:8">
      <c r="A108" s="25" t="s">
        <v>28</v>
      </c>
      <c r="B108" s="25" t="s">
        <v>123</v>
      </c>
      <c r="C108" s="25" t="s">
        <v>40</v>
      </c>
      <c r="D108" s="17">
        <v>9</v>
      </c>
      <c r="E108" s="13">
        <f>'Daily Weight '!R4</f>
        <v>24.5</v>
      </c>
      <c r="F108" s="125">
        <f>'C. diff CFUs'!Y76</f>
        <v>0</v>
      </c>
      <c r="G108" s="130">
        <f>'C. diff CFUs'!C76</f>
        <v>43595</v>
      </c>
      <c r="H108" s="24" t="s">
        <v>225</v>
      </c>
    </row>
    <row r="109" spans="1:8">
      <c r="A109" s="25" t="s">
        <v>28</v>
      </c>
      <c r="B109" s="25" t="s">
        <v>124</v>
      </c>
      <c r="C109" s="25" t="s">
        <v>41</v>
      </c>
      <c r="D109" s="17">
        <v>9</v>
      </c>
      <c r="E109" s="13">
        <f>'Daily Weight '!R5</f>
        <v>25.8</v>
      </c>
      <c r="F109" s="125">
        <f>'C. diff CFUs'!Y77</f>
        <v>0</v>
      </c>
      <c r="G109" s="130">
        <f>'C. diff CFUs'!C77</f>
        <v>43595</v>
      </c>
      <c r="H109" s="24" t="s">
        <v>225</v>
      </c>
    </row>
    <row r="110" spans="1:8">
      <c r="A110" s="23" t="s">
        <v>83</v>
      </c>
      <c r="B110" s="23" t="s">
        <v>125</v>
      </c>
      <c r="C110" s="23" t="s">
        <v>40</v>
      </c>
      <c r="D110" s="17">
        <v>9</v>
      </c>
      <c r="E110" s="13">
        <f>'Daily Weight '!R6</f>
        <v>25.5</v>
      </c>
      <c r="F110" s="125">
        <f>'C. diff CFUs'!Y78</f>
        <v>0</v>
      </c>
      <c r="G110" s="130">
        <f>'C. diff CFUs'!C78</f>
        <v>43595</v>
      </c>
      <c r="H110" s="24" t="s">
        <v>225</v>
      </c>
    </row>
    <row r="111" spans="1:8">
      <c r="A111" s="23" t="s">
        <v>83</v>
      </c>
      <c r="B111" s="23" t="s">
        <v>126</v>
      </c>
      <c r="C111" s="23" t="s">
        <v>41</v>
      </c>
      <c r="D111" s="17">
        <v>9</v>
      </c>
      <c r="E111" s="13">
        <f>'Daily Weight '!R7</f>
        <v>24.3</v>
      </c>
      <c r="F111" s="125">
        <f>'C. diff CFUs'!Y79</f>
        <v>0</v>
      </c>
      <c r="G111" s="130">
        <f>'C. diff CFUs'!C79</f>
        <v>43595</v>
      </c>
      <c r="H111" s="24" t="s">
        <v>225</v>
      </c>
    </row>
    <row r="112" spans="1:8">
      <c r="A112" s="25" t="s">
        <v>8</v>
      </c>
      <c r="B112" s="25" t="s">
        <v>127</v>
      </c>
      <c r="C112" s="25" t="s">
        <v>40</v>
      </c>
      <c r="D112" s="17">
        <v>9</v>
      </c>
      <c r="E112" s="13">
        <f>'Daily Weight '!R8</f>
        <v>25.3</v>
      </c>
      <c r="F112" s="125">
        <f>'C. diff CFUs'!Y80</f>
        <v>0</v>
      </c>
      <c r="G112" s="130">
        <f>'C. diff CFUs'!C80</f>
        <v>43595</v>
      </c>
      <c r="H112" s="24" t="s">
        <v>225</v>
      </c>
    </row>
    <row r="113" spans="1:8" ht="17" thickBot="1">
      <c r="A113" s="121" t="s">
        <v>8</v>
      </c>
      <c r="B113" s="25" t="s">
        <v>128</v>
      </c>
      <c r="C113" s="121" t="s">
        <v>41</v>
      </c>
      <c r="D113" s="122">
        <v>9</v>
      </c>
      <c r="E113" s="13">
        <f>'Daily Weight '!R9</f>
        <v>23.9</v>
      </c>
      <c r="F113" s="125">
        <f>'C. diff CFUs'!Y81</f>
        <v>0</v>
      </c>
      <c r="G113" s="130">
        <f>'C. diff CFUs'!C81</f>
        <v>43595</v>
      </c>
      <c r="H113" s="24" t="s">
        <v>225</v>
      </c>
    </row>
    <row r="114" spans="1:8">
      <c r="A114" s="23" t="s">
        <v>74</v>
      </c>
      <c r="B114" s="17" t="s">
        <v>121</v>
      </c>
      <c r="C114" s="17" t="s">
        <v>40</v>
      </c>
      <c r="D114" s="17">
        <v>10</v>
      </c>
      <c r="E114" s="13">
        <f>'Daily Weight '!S2</f>
        <v>26.1</v>
      </c>
      <c r="F114" s="125">
        <f>'C. diff CFUs'!Y82</f>
        <v>103000000</v>
      </c>
      <c r="G114" s="130">
        <f>'C. diff CFUs'!C82</f>
        <v>43596</v>
      </c>
      <c r="H114" s="24" t="s">
        <v>225</v>
      </c>
    </row>
    <row r="115" spans="1:8">
      <c r="A115" s="17" t="s">
        <v>74</v>
      </c>
      <c r="B115" s="17" t="s">
        <v>122</v>
      </c>
      <c r="C115" s="17" t="s">
        <v>41</v>
      </c>
      <c r="D115" s="17">
        <v>10</v>
      </c>
      <c r="E115" s="13">
        <f>'Daily Weight '!S3</f>
        <v>24.9</v>
      </c>
      <c r="F115" s="125">
        <f>'C. diff CFUs'!Y83</f>
        <v>117000000</v>
      </c>
      <c r="G115" s="130">
        <f>'C. diff CFUs'!C83</f>
        <v>43596</v>
      </c>
      <c r="H115" s="24" t="s">
        <v>225</v>
      </c>
    </row>
    <row r="116" spans="1:8">
      <c r="A116" s="25" t="s">
        <v>28</v>
      </c>
      <c r="B116" s="25" t="s">
        <v>123</v>
      </c>
      <c r="C116" s="25" t="s">
        <v>40</v>
      </c>
      <c r="D116" s="17">
        <v>10</v>
      </c>
      <c r="E116" s="13">
        <f>'Daily Weight '!S4</f>
        <v>25</v>
      </c>
      <c r="F116" s="125">
        <f>'C. diff CFUs'!Y84</f>
        <v>0</v>
      </c>
      <c r="G116" s="130">
        <f>'C. diff CFUs'!C84</f>
        <v>43596</v>
      </c>
      <c r="H116" s="24" t="s">
        <v>225</v>
      </c>
    </row>
    <row r="117" spans="1:8">
      <c r="A117" s="25" t="s">
        <v>28</v>
      </c>
      <c r="B117" s="25" t="s">
        <v>124</v>
      </c>
      <c r="C117" s="25" t="s">
        <v>41</v>
      </c>
      <c r="D117" s="17">
        <v>10</v>
      </c>
      <c r="E117" s="13">
        <f>'Daily Weight '!S5</f>
        <v>26.2</v>
      </c>
      <c r="F117" s="125">
        <f>'C. diff CFUs'!Y85</f>
        <v>0</v>
      </c>
      <c r="G117" s="130">
        <f>'C. diff CFUs'!C85</f>
        <v>43596</v>
      </c>
      <c r="H117" s="24" t="s">
        <v>225</v>
      </c>
    </row>
    <row r="118" spans="1:8">
      <c r="A118" s="23" t="s">
        <v>83</v>
      </c>
      <c r="B118" s="23" t="s">
        <v>125</v>
      </c>
      <c r="C118" s="23" t="s">
        <v>40</v>
      </c>
      <c r="D118" s="17">
        <v>10</v>
      </c>
      <c r="E118" s="13">
        <f>'Daily Weight '!S6</f>
        <v>25.6</v>
      </c>
      <c r="F118" s="125">
        <f>'C. diff CFUs'!Y86</f>
        <v>0</v>
      </c>
      <c r="G118" s="130">
        <f>'C. diff CFUs'!C86</f>
        <v>43596</v>
      </c>
      <c r="H118" s="24" t="s">
        <v>225</v>
      </c>
    </row>
    <row r="119" spans="1:8">
      <c r="A119" s="23" t="s">
        <v>83</v>
      </c>
      <c r="B119" s="23" t="s">
        <v>126</v>
      </c>
      <c r="C119" s="23" t="s">
        <v>41</v>
      </c>
      <c r="D119" s="17">
        <v>10</v>
      </c>
      <c r="E119" s="13">
        <f>'Daily Weight '!S7</f>
        <v>24.7</v>
      </c>
      <c r="F119" s="125">
        <f>'C. diff CFUs'!Y87</f>
        <v>0</v>
      </c>
      <c r="G119" s="130">
        <f>'C. diff CFUs'!C87</f>
        <v>43596</v>
      </c>
      <c r="H119" s="24" t="s">
        <v>225</v>
      </c>
    </row>
    <row r="120" spans="1:8">
      <c r="A120" s="25" t="s">
        <v>8</v>
      </c>
      <c r="B120" s="25" t="s">
        <v>127</v>
      </c>
      <c r="C120" s="25" t="s">
        <v>40</v>
      </c>
      <c r="D120" s="17">
        <v>10</v>
      </c>
      <c r="E120" s="13">
        <f>'Daily Weight '!S8</f>
        <v>26.3</v>
      </c>
      <c r="F120" s="125">
        <f>'C. diff CFUs'!Y88</f>
        <v>0</v>
      </c>
      <c r="G120" s="130">
        <f>'C. diff CFUs'!C88</f>
        <v>43596</v>
      </c>
      <c r="H120" s="24" t="s">
        <v>225</v>
      </c>
    </row>
    <row r="121" spans="1:8" ht="17" thickBot="1">
      <c r="A121" s="121" t="s">
        <v>8</v>
      </c>
      <c r="B121" s="25" t="s">
        <v>128</v>
      </c>
      <c r="C121" s="121" t="s">
        <v>41</v>
      </c>
      <c r="D121" s="122">
        <v>10</v>
      </c>
      <c r="E121" s="13">
        <f>'Daily Weight '!S9</f>
        <v>24.5</v>
      </c>
      <c r="F121" s="125">
        <f>'C. diff CFUs'!Y89</f>
        <v>0</v>
      </c>
      <c r="G121" s="130">
        <f>'C. diff CFUs'!C89</f>
        <v>43596</v>
      </c>
      <c r="H121" s="2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Abbrev.</vt:lpstr>
      <vt:lpstr>Calendar</vt:lpstr>
      <vt:lpstr>Cg. setup</vt:lpstr>
      <vt:lpstr>Inventory</vt:lpstr>
      <vt:lpstr>Daily Weight </vt:lpstr>
      <vt:lpstr>Tube wts</vt:lpstr>
      <vt:lpstr>D0 C. diff</vt:lpstr>
      <vt:lpstr>C. diff CFUs</vt:lpstr>
      <vt:lpstr>clean_cfu_df</vt:lpstr>
      <vt:lpstr>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Lesniak, Nicholas</cp:lastModifiedBy>
  <cp:lastPrinted>2019-05-06T17:48:25Z</cp:lastPrinted>
  <dcterms:created xsi:type="dcterms:W3CDTF">2018-11-07T16:14:13Z</dcterms:created>
  <dcterms:modified xsi:type="dcterms:W3CDTF">2019-06-10T21:30:50Z</dcterms:modified>
</cp:coreProperties>
</file>