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lesniak/Documents/Github/Lesniak_restoreCR_XXXX_2020/data/raw/"/>
    </mc:Choice>
  </mc:AlternateContent>
  <xr:revisionPtr revIDLastSave="0" documentId="13_ncr:1_{AFAE988F-4247-2C4B-A819-ED2D8D1B833C}" xr6:coauthVersionLast="46" xr6:coauthVersionMax="46" xr10:uidLastSave="{00000000-0000-0000-0000-000000000000}"/>
  <bookViews>
    <workbookView xWindow="17480" yWindow="500" windowWidth="28860" windowHeight="14860" xr2:uid="{9ABC2946-D5DC-CD41-B373-36EEE3962A99}"/>
  </bookViews>
  <sheets>
    <sheet name="Abbrev." sheetId="2" r:id="rId1"/>
    <sheet name="Calendar" sheetId="4" r:id="rId2"/>
    <sheet name="Cg. setup" sheetId="3" r:id="rId3"/>
    <sheet name="Inventory" sheetId="5" r:id="rId4"/>
    <sheet name="Daily Weight " sheetId="6" r:id="rId5"/>
    <sheet name="Tube wts" sheetId="7" r:id="rId6"/>
    <sheet name="D0 C. diff" sheetId="10" r:id="rId7"/>
    <sheet name="C. diff CFUs" sheetId="11" r:id="rId8"/>
    <sheet name="clean_cfu_df" sheetId="13" r:id="rId9"/>
    <sheet name="FMT" sheetId="9" r:id="rId10"/>
    <sheet name="Antibiotic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6" l="1"/>
  <c r="N11" i="5"/>
  <c r="M11" i="5"/>
  <c r="K11" i="5"/>
  <c r="N10" i="5"/>
  <c r="M10" i="5"/>
  <c r="K10" i="5"/>
  <c r="N9" i="5"/>
  <c r="M9" i="5"/>
  <c r="K9" i="5"/>
  <c r="E67" i="13" l="1"/>
  <c r="E68" i="13"/>
  <c r="E69" i="13"/>
  <c r="E70" i="13"/>
  <c r="E71" i="13"/>
  <c r="E72" i="13"/>
  <c r="E73" i="13"/>
  <c r="E66" i="13"/>
  <c r="E59" i="13"/>
  <c r="E60" i="13"/>
  <c r="E61" i="13"/>
  <c r="E62" i="13"/>
  <c r="E63" i="13"/>
  <c r="E64" i="13"/>
  <c r="E65" i="13"/>
  <c r="E58" i="13"/>
  <c r="F128" i="13"/>
  <c r="F129" i="13"/>
  <c r="F116" i="13"/>
  <c r="V43" i="11"/>
  <c r="Q52" i="11"/>
  <c r="R52" i="11" s="1"/>
  <c r="Y52" i="11" s="1"/>
  <c r="F118" i="13" s="1"/>
  <c r="Q53" i="11"/>
  <c r="V53" i="11" s="1"/>
  <c r="G52" i="11"/>
  <c r="H52" i="11" s="1"/>
  <c r="I52" i="11" s="1"/>
  <c r="G53" i="11"/>
  <c r="H53" i="11" s="1"/>
  <c r="I53" i="11" s="1"/>
  <c r="F53" i="11"/>
  <c r="F52" i="11"/>
  <c r="B53" i="11"/>
  <c r="B52" i="11"/>
  <c r="Q42" i="11"/>
  <c r="S42" i="11" s="1"/>
  <c r="Y42" i="11" s="1"/>
  <c r="Q43" i="11"/>
  <c r="U43" i="11" s="1"/>
  <c r="G42" i="11"/>
  <c r="G43" i="11"/>
  <c r="F43" i="11"/>
  <c r="F42" i="11"/>
  <c r="B43" i="11"/>
  <c r="B42" i="11"/>
  <c r="U53" i="11" l="1"/>
  <c r="T53" i="11"/>
  <c r="Y53" i="11" s="1"/>
  <c r="F119" i="13" s="1"/>
  <c r="T43" i="11"/>
  <c r="Y43" i="11" s="1"/>
  <c r="F117" i="13" s="1"/>
  <c r="H43" i="11"/>
  <c r="I43" i="11" s="1"/>
  <c r="H42" i="11"/>
  <c r="I42" i="11" s="1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H111" i="13"/>
  <c r="H112" i="13"/>
  <c r="H114" i="13" s="1"/>
  <c r="H116" i="13" s="1"/>
  <c r="H118" i="13" s="1"/>
  <c r="H120" i="13" s="1"/>
  <c r="H122" i="13" s="1"/>
  <c r="H124" i="13" s="1"/>
  <c r="H126" i="13" s="1"/>
  <c r="H128" i="13" s="1"/>
  <c r="H113" i="13"/>
  <c r="H115" i="13" s="1"/>
  <c r="H117" i="13" s="1"/>
  <c r="H119" i="13" s="1"/>
  <c r="H121" i="13" s="1"/>
  <c r="H123" i="13" s="1"/>
  <c r="H125" i="13" s="1"/>
  <c r="H127" i="13" s="1"/>
  <c r="H129" i="13" s="1"/>
  <c r="H110" i="13"/>
  <c r="Q32" i="11"/>
  <c r="Q33" i="11"/>
  <c r="G32" i="11"/>
  <c r="G33" i="11"/>
  <c r="F33" i="11"/>
  <c r="F32" i="11"/>
  <c r="B33" i="11"/>
  <c r="B32" i="11"/>
  <c r="C10" i="6"/>
  <c r="Q22" i="11"/>
  <c r="T22" i="11" s="1"/>
  <c r="Q23" i="11"/>
  <c r="F23" i="11"/>
  <c r="G23" i="11"/>
  <c r="G22" i="11"/>
  <c r="F22" i="11"/>
  <c r="Q12" i="11"/>
  <c r="U12" i="11" s="1"/>
  <c r="Q13" i="11"/>
  <c r="V13" i="11" s="1"/>
  <c r="F13" i="11"/>
  <c r="G13" i="11"/>
  <c r="G12" i="11"/>
  <c r="F12" i="11"/>
  <c r="F3" i="11"/>
  <c r="G3" i="11"/>
  <c r="G2" i="11"/>
  <c r="F2" i="11"/>
  <c r="C3" i="11"/>
  <c r="C2" i="11"/>
  <c r="Q2" i="11"/>
  <c r="R2" i="11" s="1"/>
  <c r="Y2" i="11" s="1"/>
  <c r="F108" i="13" s="1"/>
  <c r="Q3" i="11"/>
  <c r="R3" i="11" s="1"/>
  <c r="Y3" i="11" s="1"/>
  <c r="F109" i="13" s="1"/>
  <c r="B8" i="9"/>
  <c r="C2" i="7"/>
  <c r="C3" i="7"/>
  <c r="C4" i="7"/>
  <c r="C5" i="7"/>
  <c r="C6" i="7"/>
  <c r="C7" i="7"/>
  <c r="C8" i="7"/>
  <c r="C9" i="7"/>
  <c r="H33" i="11" l="1"/>
  <c r="I33" i="11" s="1"/>
  <c r="H32" i="11"/>
  <c r="I32" i="11" s="1"/>
  <c r="H23" i="11"/>
  <c r="I23" i="11" s="1"/>
  <c r="U22" i="11"/>
  <c r="H2" i="11"/>
  <c r="I2" i="11" s="1"/>
  <c r="V12" i="11"/>
  <c r="W13" i="11"/>
  <c r="U13" i="11"/>
  <c r="V22" i="11"/>
  <c r="W12" i="11"/>
  <c r="V23" i="11"/>
  <c r="U23" i="11"/>
  <c r="H13" i="11"/>
  <c r="I13" i="11" s="1"/>
  <c r="H22" i="11"/>
  <c r="I22" i="11" s="1"/>
  <c r="H12" i="11"/>
  <c r="I12" i="11" s="1"/>
  <c r="H3" i="11"/>
  <c r="I3" i="11" s="1"/>
  <c r="B3" i="6"/>
  <c r="B4" i="6"/>
  <c r="B5" i="6"/>
  <c r="B6" i="6"/>
  <c r="B7" i="6"/>
  <c r="B8" i="6"/>
  <c r="B9" i="6"/>
  <c r="B2" i="6"/>
  <c r="C3" i="6"/>
  <c r="C4" i="6"/>
  <c r="C5" i="6"/>
  <c r="C6" i="6"/>
  <c r="C7" i="6"/>
  <c r="C8" i="6"/>
  <c r="C9" i="6"/>
  <c r="C2" i="6"/>
  <c r="D83" i="7"/>
  <c r="D84" i="7"/>
  <c r="D85" i="7"/>
  <c r="D86" i="7"/>
  <c r="D87" i="7"/>
  <c r="D88" i="7"/>
  <c r="D89" i="7"/>
  <c r="D82" i="7"/>
  <c r="D75" i="7"/>
  <c r="D76" i="7"/>
  <c r="D77" i="7"/>
  <c r="D78" i="7"/>
  <c r="D79" i="7"/>
  <c r="D80" i="7"/>
  <c r="D81" i="7"/>
  <c r="D74" i="7"/>
  <c r="D67" i="7"/>
  <c r="D68" i="7"/>
  <c r="D69" i="7"/>
  <c r="D70" i="7"/>
  <c r="D71" i="7"/>
  <c r="D72" i="7"/>
  <c r="D73" i="7"/>
  <c r="D66" i="7"/>
  <c r="D59" i="7"/>
  <c r="D60" i="7"/>
  <c r="D61" i="7"/>
  <c r="D62" i="7"/>
  <c r="D63" i="7"/>
  <c r="D64" i="7"/>
  <c r="D65" i="7"/>
  <c r="D58" i="7"/>
  <c r="D51" i="7"/>
  <c r="D52" i="7"/>
  <c r="D53" i="7"/>
  <c r="D54" i="7"/>
  <c r="D55" i="7"/>
  <c r="D56" i="7"/>
  <c r="D57" i="7"/>
  <c r="D50" i="7"/>
  <c r="D43" i="7"/>
  <c r="D44" i="7"/>
  <c r="D45" i="7"/>
  <c r="D46" i="7"/>
  <c r="D47" i="7"/>
  <c r="D48" i="7"/>
  <c r="D49" i="7"/>
  <c r="D42" i="7"/>
  <c r="D35" i="7"/>
  <c r="D36" i="7"/>
  <c r="D37" i="7"/>
  <c r="D38" i="7"/>
  <c r="D39" i="7"/>
  <c r="D40" i="7"/>
  <c r="D41" i="7"/>
  <c r="D34" i="7"/>
  <c r="D27" i="7"/>
  <c r="D28" i="7"/>
  <c r="D29" i="7"/>
  <c r="D30" i="7"/>
  <c r="D31" i="7"/>
  <c r="D32" i="7"/>
  <c r="D33" i="7"/>
  <c r="D26" i="7"/>
  <c r="D19" i="7"/>
  <c r="D20" i="7"/>
  <c r="D21" i="7"/>
  <c r="D22" i="7"/>
  <c r="D23" i="7"/>
  <c r="D24" i="7"/>
  <c r="D25" i="7"/>
  <c r="D18" i="7"/>
  <c r="D11" i="7"/>
  <c r="D12" i="7"/>
  <c r="D13" i="7"/>
  <c r="D14" i="7"/>
  <c r="D15" i="7"/>
  <c r="D16" i="7"/>
  <c r="D17" i="7"/>
  <c r="D10" i="7"/>
  <c r="D3" i="7"/>
  <c r="D4" i="7"/>
  <c r="D5" i="7"/>
  <c r="D6" i="7"/>
  <c r="D7" i="7"/>
  <c r="D8" i="7"/>
  <c r="D9" i="7"/>
  <c r="D2" i="7"/>
  <c r="D4" i="11" s="1"/>
  <c r="B11" i="6" l="1"/>
  <c r="B10" i="6"/>
  <c r="Y23" i="11"/>
  <c r="F113" i="13" s="1"/>
  <c r="Y13" i="11"/>
  <c r="F111" i="13" s="1"/>
  <c r="Y12" i="11"/>
  <c r="F110" i="13" s="1"/>
  <c r="Y22" i="11"/>
  <c r="F112" i="13" s="1"/>
  <c r="B18" i="13"/>
  <c r="B10" i="13"/>
  <c r="B2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" i="13"/>
  <c r="E3" i="13"/>
  <c r="E4" i="13"/>
  <c r="E5" i="13"/>
  <c r="E6" i="13"/>
  <c r="E7" i="13"/>
  <c r="E8" i="13"/>
  <c r="E9" i="13"/>
  <c r="E2" i="13"/>
  <c r="H19" i="13"/>
  <c r="H3" i="13" s="1"/>
  <c r="H20" i="13"/>
  <c r="H4" i="13" s="1"/>
  <c r="H21" i="13"/>
  <c r="H5" i="13" s="1"/>
  <c r="H22" i="13"/>
  <c r="H14" i="13" s="1"/>
  <c r="H23" i="13"/>
  <c r="H15" i="13" s="1"/>
  <c r="H24" i="13"/>
  <c r="H8" i="13" s="1"/>
  <c r="H25" i="13"/>
  <c r="H9" i="13" s="1"/>
  <c r="H18" i="13"/>
  <c r="H2" i="13" s="1"/>
  <c r="H16" i="13" l="1"/>
  <c r="H12" i="13"/>
  <c r="H7" i="13"/>
  <c r="H11" i="13"/>
  <c r="H6" i="13"/>
  <c r="H10" i="13"/>
  <c r="H17" i="13"/>
  <c r="H13" i="13"/>
  <c r="Q25" i="11"/>
  <c r="D12" i="9"/>
  <c r="D5" i="11"/>
  <c r="E5" i="11"/>
  <c r="F5" i="11"/>
  <c r="D6" i="11"/>
  <c r="E6" i="11"/>
  <c r="F6" i="11"/>
  <c r="D7" i="11"/>
  <c r="E7" i="11"/>
  <c r="F7" i="11"/>
  <c r="D8" i="11"/>
  <c r="E8" i="11"/>
  <c r="F8" i="11"/>
  <c r="D9" i="11"/>
  <c r="E9" i="11"/>
  <c r="F9" i="11"/>
  <c r="D10" i="11"/>
  <c r="E10" i="11"/>
  <c r="F10" i="11"/>
  <c r="D11" i="11"/>
  <c r="E11" i="11"/>
  <c r="F11" i="11"/>
  <c r="D14" i="11"/>
  <c r="B26" i="13" s="1"/>
  <c r="E14" i="11"/>
  <c r="F14" i="11"/>
  <c r="D15" i="11"/>
  <c r="B27" i="13" s="1"/>
  <c r="E15" i="11"/>
  <c r="F15" i="11"/>
  <c r="D16" i="11"/>
  <c r="B28" i="13" s="1"/>
  <c r="E16" i="11"/>
  <c r="F16" i="11"/>
  <c r="D17" i="11"/>
  <c r="B29" i="13" s="1"/>
  <c r="E17" i="11"/>
  <c r="F17" i="11"/>
  <c r="D18" i="11"/>
  <c r="B30" i="13" s="1"/>
  <c r="E18" i="11"/>
  <c r="F18" i="11"/>
  <c r="D19" i="11"/>
  <c r="B31" i="13" s="1"/>
  <c r="E19" i="11"/>
  <c r="F19" i="11"/>
  <c r="D20" i="11"/>
  <c r="B32" i="13" s="1"/>
  <c r="E20" i="11"/>
  <c r="F20" i="11"/>
  <c r="D21" i="11"/>
  <c r="B33" i="13" s="1"/>
  <c r="E21" i="11"/>
  <c r="F21" i="11"/>
  <c r="D24" i="11"/>
  <c r="B34" i="13" s="1"/>
  <c r="E24" i="11"/>
  <c r="F24" i="11"/>
  <c r="D25" i="11"/>
  <c r="B35" i="13" s="1"/>
  <c r="E25" i="11"/>
  <c r="F25" i="11"/>
  <c r="D26" i="11"/>
  <c r="B36" i="13" s="1"/>
  <c r="E26" i="11"/>
  <c r="F26" i="11"/>
  <c r="D27" i="11"/>
  <c r="B37" i="13" s="1"/>
  <c r="E27" i="11"/>
  <c r="F27" i="11"/>
  <c r="D28" i="11"/>
  <c r="B38" i="13" s="1"/>
  <c r="E28" i="11"/>
  <c r="F28" i="11"/>
  <c r="D29" i="11"/>
  <c r="B39" i="13" s="1"/>
  <c r="E29" i="11"/>
  <c r="F29" i="11"/>
  <c r="D30" i="11"/>
  <c r="B40" i="13" s="1"/>
  <c r="E30" i="11"/>
  <c r="F30" i="11"/>
  <c r="D31" i="11"/>
  <c r="B41" i="13" s="1"/>
  <c r="E31" i="11"/>
  <c r="F31" i="11"/>
  <c r="D34" i="11"/>
  <c r="B42" i="13" s="1"/>
  <c r="E34" i="11"/>
  <c r="F34" i="11"/>
  <c r="D35" i="11"/>
  <c r="B43" i="13" s="1"/>
  <c r="E35" i="11"/>
  <c r="F35" i="11"/>
  <c r="D36" i="11"/>
  <c r="B44" i="13" s="1"/>
  <c r="E36" i="11"/>
  <c r="F36" i="11"/>
  <c r="D37" i="11"/>
  <c r="B45" i="13" s="1"/>
  <c r="E37" i="11"/>
  <c r="F37" i="11"/>
  <c r="D38" i="11"/>
  <c r="B46" i="13" s="1"/>
  <c r="E38" i="11"/>
  <c r="F38" i="11"/>
  <c r="D39" i="11"/>
  <c r="B47" i="13" s="1"/>
  <c r="E39" i="11"/>
  <c r="F39" i="11"/>
  <c r="D40" i="11"/>
  <c r="B48" i="13" s="1"/>
  <c r="E40" i="11"/>
  <c r="F40" i="11"/>
  <c r="D41" i="11"/>
  <c r="B49" i="13" s="1"/>
  <c r="E41" i="11"/>
  <c r="F41" i="11"/>
  <c r="D44" i="11"/>
  <c r="B50" i="13" s="1"/>
  <c r="E44" i="11"/>
  <c r="F44" i="11"/>
  <c r="D45" i="11"/>
  <c r="B51" i="13" s="1"/>
  <c r="E45" i="11"/>
  <c r="F45" i="11"/>
  <c r="D46" i="11"/>
  <c r="B52" i="13" s="1"/>
  <c r="E46" i="11"/>
  <c r="F46" i="11"/>
  <c r="D47" i="11"/>
  <c r="B53" i="13" s="1"/>
  <c r="E47" i="11"/>
  <c r="F47" i="11"/>
  <c r="D48" i="11"/>
  <c r="B54" i="13" s="1"/>
  <c r="E48" i="11"/>
  <c r="F48" i="11"/>
  <c r="D49" i="11"/>
  <c r="B55" i="13" s="1"/>
  <c r="E49" i="11"/>
  <c r="F49" i="11"/>
  <c r="D50" i="11"/>
  <c r="B56" i="13" s="1"/>
  <c r="E50" i="11"/>
  <c r="F50" i="11"/>
  <c r="D51" i="11"/>
  <c r="B57" i="13" s="1"/>
  <c r="E51" i="11"/>
  <c r="F51" i="11"/>
  <c r="D54" i="11"/>
  <c r="B58" i="13" s="1"/>
  <c r="E54" i="11"/>
  <c r="F54" i="11"/>
  <c r="D55" i="11"/>
  <c r="B59" i="13" s="1"/>
  <c r="E55" i="11"/>
  <c r="F55" i="11"/>
  <c r="D56" i="11"/>
  <c r="B60" i="13" s="1"/>
  <c r="E56" i="11"/>
  <c r="F56" i="11"/>
  <c r="D57" i="11"/>
  <c r="B61" i="13" s="1"/>
  <c r="E57" i="11"/>
  <c r="F57" i="11"/>
  <c r="D58" i="11"/>
  <c r="B62" i="13" s="1"/>
  <c r="E58" i="11"/>
  <c r="F58" i="11"/>
  <c r="D59" i="11"/>
  <c r="B63" i="13" s="1"/>
  <c r="E59" i="11"/>
  <c r="F59" i="11"/>
  <c r="D60" i="11"/>
  <c r="B64" i="13" s="1"/>
  <c r="E60" i="11"/>
  <c r="F60" i="11"/>
  <c r="D61" i="11"/>
  <c r="B65" i="13" s="1"/>
  <c r="E61" i="11"/>
  <c r="F61" i="11"/>
  <c r="D62" i="11"/>
  <c r="B66" i="13" s="1"/>
  <c r="E62" i="11"/>
  <c r="F62" i="11"/>
  <c r="D63" i="11"/>
  <c r="B67" i="13" s="1"/>
  <c r="E63" i="11"/>
  <c r="F63" i="11"/>
  <c r="D64" i="11"/>
  <c r="B68" i="13" s="1"/>
  <c r="E64" i="11"/>
  <c r="F64" i="11"/>
  <c r="D65" i="11"/>
  <c r="B69" i="13" s="1"/>
  <c r="E65" i="11"/>
  <c r="F65" i="11"/>
  <c r="D66" i="11"/>
  <c r="B70" i="13" s="1"/>
  <c r="E66" i="11"/>
  <c r="F66" i="11"/>
  <c r="D67" i="11"/>
  <c r="B71" i="13" s="1"/>
  <c r="E67" i="11"/>
  <c r="F67" i="11"/>
  <c r="D68" i="11"/>
  <c r="B72" i="13" s="1"/>
  <c r="E68" i="11"/>
  <c r="F68" i="11"/>
  <c r="D69" i="11"/>
  <c r="B73" i="13" s="1"/>
  <c r="E69" i="11"/>
  <c r="F69" i="11"/>
  <c r="D70" i="11"/>
  <c r="B74" i="13" s="1"/>
  <c r="E70" i="11"/>
  <c r="F70" i="11"/>
  <c r="D71" i="11"/>
  <c r="B75" i="13" s="1"/>
  <c r="E71" i="11"/>
  <c r="F71" i="11"/>
  <c r="D72" i="11"/>
  <c r="B76" i="13" s="1"/>
  <c r="E72" i="11"/>
  <c r="F72" i="11"/>
  <c r="D73" i="11"/>
  <c r="B77" i="13" s="1"/>
  <c r="E73" i="11"/>
  <c r="F73" i="11"/>
  <c r="D74" i="11"/>
  <c r="B78" i="13" s="1"/>
  <c r="E74" i="11"/>
  <c r="F74" i="11"/>
  <c r="D75" i="11"/>
  <c r="B79" i="13" s="1"/>
  <c r="E75" i="11"/>
  <c r="F75" i="11"/>
  <c r="D76" i="11"/>
  <c r="B80" i="13" s="1"/>
  <c r="E76" i="11"/>
  <c r="F76" i="11"/>
  <c r="D77" i="11"/>
  <c r="B81" i="13" s="1"/>
  <c r="E77" i="11"/>
  <c r="F77" i="11"/>
  <c r="D78" i="11"/>
  <c r="B82" i="13" s="1"/>
  <c r="E78" i="11"/>
  <c r="F78" i="11"/>
  <c r="D79" i="11"/>
  <c r="B83" i="13" s="1"/>
  <c r="E79" i="11"/>
  <c r="F79" i="11"/>
  <c r="D80" i="11"/>
  <c r="B84" i="13" s="1"/>
  <c r="E80" i="11"/>
  <c r="F80" i="11"/>
  <c r="D81" i="11"/>
  <c r="B85" i="13" s="1"/>
  <c r="E81" i="11"/>
  <c r="F81" i="11"/>
  <c r="D82" i="11"/>
  <c r="B86" i="13" s="1"/>
  <c r="E82" i="11"/>
  <c r="F82" i="11"/>
  <c r="D83" i="11"/>
  <c r="B87" i="13" s="1"/>
  <c r="E83" i="11"/>
  <c r="F83" i="11"/>
  <c r="D84" i="11"/>
  <c r="B88" i="13" s="1"/>
  <c r="E84" i="11"/>
  <c r="F84" i="11"/>
  <c r="D85" i="11"/>
  <c r="B89" i="13" s="1"/>
  <c r="E85" i="11"/>
  <c r="F85" i="11"/>
  <c r="D86" i="11"/>
  <c r="B90" i="13" s="1"/>
  <c r="E86" i="11"/>
  <c r="F86" i="11"/>
  <c r="D87" i="11"/>
  <c r="B91" i="13" s="1"/>
  <c r="E87" i="11"/>
  <c r="F87" i="11"/>
  <c r="D88" i="11"/>
  <c r="B92" i="13" s="1"/>
  <c r="E88" i="11"/>
  <c r="F88" i="11"/>
  <c r="D89" i="11"/>
  <c r="B93" i="13" s="1"/>
  <c r="E89" i="11"/>
  <c r="F89" i="11"/>
  <c r="D90" i="11"/>
  <c r="B94" i="13" s="1"/>
  <c r="E90" i="11"/>
  <c r="F90" i="11"/>
  <c r="D91" i="11"/>
  <c r="B95" i="13" s="1"/>
  <c r="E91" i="11"/>
  <c r="F91" i="11"/>
  <c r="D92" i="11"/>
  <c r="B96" i="13" s="1"/>
  <c r="E92" i="11"/>
  <c r="F92" i="11"/>
  <c r="D93" i="11"/>
  <c r="B97" i="13" s="1"/>
  <c r="E93" i="11"/>
  <c r="F93" i="11"/>
  <c r="D94" i="11"/>
  <c r="B98" i="13" s="1"/>
  <c r="E94" i="11"/>
  <c r="F94" i="11"/>
  <c r="D95" i="11"/>
  <c r="B99" i="13" s="1"/>
  <c r="E95" i="11"/>
  <c r="F95" i="11"/>
  <c r="D96" i="11"/>
  <c r="B100" i="13" s="1"/>
  <c r="E96" i="11"/>
  <c r="F96" i="11"/>
  <c r="D97" i="11"/>
  <c r="B101" i="13" s="1"/>
  <c r="E97" i="11"/>
  <c r="F97" i="11"/>
  <c r="D98" i="11"/>
  <c r="B102" i="13" s="1"/>
  <c r="E98" i="11"/>
  <c r="F98" i="11"/>
  <c r="D99" i="11"/>
  <c r="B103" i="13" s="1"/>
  <c r="E99" i="11"/>
  <c r="F99" i="11"/>
  <c r="D100" i="11"/>
  <c r="B104" i="13" s="1"/>
  <c r="E100" i="11"/>
  <c r="F100" i="11"/>
  <c r="D101" i="11"/>
  <c r="B105" i="13" s="1"/>
  <c r="E101" i="11"/>
  <c r="F101" i="11"/>
  <c r="E4" i="11"/>
  <c r="N8" i="5"/>
  <c r="M8" i="5"/>
  <c r="K8" i="5"/>
  <c r="N7" i="5"/>
  <c r="M7" i="5"/>
  <c r="K7" i="5"/>
  <c r="N6" i="5"/>
  <c r="M6" i="5"/>
  <c r="K6" i="5"/>
  <c r="N5" i="5"/>
  <c r="M5" i="5"/>
  <c r="K5" i="5"/>
  <c r="N4" i="5"/>
  <c r="M4" i="5"/>
  <c r="K4" i="5"/>
  <c r="N3" i="5"/>
  <c r="M3" i="5"/>
  <c r="K3" i="5"/>
  <c r="N2" i="5"/>
  <c r="M2" i="5"/>
  <c r="K2" i="5"/>
  <c r="C21" i="11"/>
  <c r="C17" i="7" s="1"/>
  <c r="C20" i="11"/>
  <c r="C16" i="7" s="1"/>
  <c r="C19" i="11"/>
  <c r="C15" i="7" s="1"/>
  <c r="C18" i="11"/>
  <c r="C14" i="7" s="1"/>
  <c r="C17" i="11"/>
  <c r="C13" i="7" s="1"/>
  <c r="C16" i="11"/>
  <c r="C12" i="7" s="1"/>
  <c r="C15" i="11"/>
  <c r="C11" i="7" s="1"/>
  <c r="C14" i="11"/>
  <c r="T25" i="11" l="1"/>
  <c r="V25" i="11"/>
  <c r="S25" i="11"/>
  <c r="U25" i="11"/>
  <c r="C10" i="7"/>
  <c r="C12" i="11"/>
  <c r="C13" i="11"/>
  <c r="B24" i="13"/>
  <c r="B16" i="13"/>
  <c r="B8" i="13"/>
  <c r="B20" i="13"/>
  <c r="B12" i="13"/>
  <c r="B4" i="13"/>
  <c r="B25" i="13"/>
  <c r="B17" i="13"/>
  <c r="B9" i="13"/>
  <c r="B21" i="13"/>
  <c r="B13" i="13"/>
  <c r="B5" i="13"/>
  <c r="B22" i="13"/>
  <c r="B14" i="13"/>
  <c r="B6" i="13"/>
  <c r="B23" i="13"/>
  <c r="B15" i="13"/>
  <c r="B7" i="13"/>
  <c r="B11" i="13"/>
  <c r="B3" i="13"/>
  <c r="B19" i="13"/>
  <c r="C31" i="11"/>
  <c r="C25" i="7" s="1"/>
  <c r="H33" i="13"/>
  <c r="C30" i="11"/>
  <c r="C24" i="7" s="1"/>
  <c r="H32" i="13"/>
  <c r="C29" i="11"/>
  <c r="C23" i="7" s="1"/>
  <c r="H31" i="13"/>
  <c r="C28" i="11"/>
  <c r="C22" i="7" s="1"/>
  <c r="H30" i="13"/>
  <c r="C27" i="11"/>
  <c r="C21" i="7" s="1"/>
  <c r="H29" i="13"/>
  <c r="C26" i="11"/>
  <c r="C20" i="7" s="1"/>
  <c r="H28" i="13"/>
  <c r="C25" i="11"/>
  <c r="C19" i="7" s="1"/>
  <c r="H27" i="13"/>
  <c r="C24" i="11"/>
  <c r="H26" i="13"/>
  <c r="D11" i="9"/>
  <c r="Y25" i="11" l="1"/>
  <c r="F35" i="13" s="1"/>
  <c r="C18" i="7"/>
  <c r="C22" i="11"/>
  <c r="C23" i="11"/>
  <c r="C41" i="11"/>
  <c r="C33" i="7" s="1"/>
  <c r="H41" i="13"/>
  <c r="C40" i="11"/>
  <c r="C32" i="7" s="1"/>
  <c r="H40" i="13"/>
  <c r="C39" i="11"/>
  <c r="C31" i="7" s="1"/>
  <c r="H39" i="13"/>
  <c r="C38" i="11"/>
  <c r="C30" i="7" s="1"/>
  <c r="H38" i="13"/>
  <c r="C37" i="11"/>
  <c r="C29" i="7" s="1"/>
  <c r="H37" i="13"/>
  <c r="C36" i="11"/>
  <c r="C28" i="7" s="1"/>
  <c r="H36" i="13"/>
  <c r="C35" i="11"/>
  <c r="C27" i="7" s="1"/>
  <c r="H35" i="13"/>
  <c r="C34" i="11"/>
  <c r="H34" i="13"/>
  <c r="C26" i="7" l="1"/>
  <c r="C33" i="11"/>
  <c r="C32" i="11"/>
  <c r="C51" i="11"/>
  <c r="C41" i="7" s="1"/>
  <c r="H49" i="13"/>
  <c r="C50" i="11"/>
  <c r="C40" i="7" s="1"/>
  <c r="H48" i="13"/>
  <c r="C49" i="11"/>
  <c r="C39" i="7" s="1"/>
  <c r="H47" i="13"/>
  <c r="C48" i="11"/>
  <c r="C38" i="7" s="1"/>
  <c r="H46" i="13"/>
  <c r="C47" i="11"/>
  <c r="C37" i="7" s="1"/>
  <c r="H45" i="13"/>
  <c r="C46" i="11"/>
  <c r="C36" i="7" s="1"/>
  <c r="H44" i="13"/>
  <c r="C45" i="11"/>
  <c r="C35" i="7" s="1"/>
  <c r="H43" i="13"/>
  <c r="C44" i="11"/>
  <c r="H42" i="13"/>
  <c r="E27" i="10"/>
  <c r="E30" i="10" s="1"/>
  <c r="D27" i="10"/>
  <c r="D30" i="10" s="1"/>
  <c r="C27" i="10"/>
  <c r="C30" i="10" s="1"/>
  <c r="G5" i="11"/>
  <c r="G6" i="11"/>
  <c r="G7" i="11"/>
  <c r="G8" i="11"/>
  <c r="G9" i="11"/>
  <c r="G10" i="11"/>
  <c r="G11" i="11"/>
  <c r="G14" i="11"/>
  <c r="H14" i="11" s="1"/>
  <c r="G15" i="11"/>
  <c r="H15" i="11" s="1"/>
  <c r="G16" i="11"/>
  <c r="H16" i="11" s="1"/>
  <c r="G17" i="11"/>
  <c r="H17" i="11" s="1"/>
  <c r="G18" i="11"/>
  <c r="H18" i="11" s="1"/>
  <c r="G19" i="11"/>
  <c r="H19" i="11" s="1"/>
  <c r="G20" i="11"/>
  <c r="H20" i="11" s="1"/>
  <c r="G21" i="11"/>
  <c r="H21" i="11" s="1"/>
  <c r="G24" i="11"/>
  <c r="G25" i="11"/>
  <c r="H25" i="11" s="1"/>
  <c r="I25" i="11" s="1"/>
  <c r="G26" i="11"/>
  <c r="G27" i="11"/>
  <c r="G28" i="11"/>
  <c r="G29" i="11"/>
  <c r="G30" i="11"/>
  <c r="G31" i="11"/>
  <c r="G34" i="11"/>
  <c r="G35" i="11"/>
  <c r="G36" i="11"/>
  <c r="G37" i="11"/>
  <c r="G38" i="11"/>
  <c r="G39" i="11"/>
  <c r="G40" i="11"/>
  <c r="G41" i="11"/>
  <c r="G44" i="11"/>
  <c r="G45" i="11"/>
  <c r="G46" i="11"/>
  <c r="G47" i="11"/>
  <c r="G48" i="11"/>
  <c r="G49" i="11"/>
  <c r="G50" i="11"/>
  <c r="G51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4" i="11"/>
  <c r="F4" i="11"/>
  <c r="F10" i="10"/>
  <c r="E10" i="10"/>
  <c r="D10" i="10"/>
  <c r="C10" i="10"/>
  <c r="C20" i="10" l="1"/>
  <c r="C17" i="10"/>
  <c r="A20" i="10"/>
  <c r="B21" i="10" s="1"/>
  <c r="D21" i="10" s="1"/>
  <c r="A17" i="10"/>
  <c r="B20" i="10"/>
  <c r="B17" i="10"/>
  <c r="C34" i="7"/>
  <c r="C43" i="11"/>
  <c r="C42" i="11"/>
  <c r="C61" i="11"/>
  <c r="C49" i="7" s="1"/>
  <c r="H57" i="13"/>
  <c r="C60" i="11"/>
  <c r="C48" i="7" s="1"/>
  <c r="H56" i="13"/>
  <c r="C59" i="11"/>
  <c r="C47" i="7" s="1"/>
  <c r="H55" i="13"/>
  <c r="C58" i="11"/>
  <c r="C46" i="7" s="1"/>
  <c r="H54" i="13"/>
  <c r="C57" i="11"/>
  <c r="C45" i="7" s="1"/>
  <c r="H53" i="13"/>
  <c r="C56" i="11"/>
  <c r="C44" i="7" s="1"/>
  <c r="H52" i="13"/>
  <c r="C55" i="11"/>
  <c r="C43" i="7" s="1"/>
  <c r="H51" i="13"/>
  <c r="C54" i="11"/>
  <c r="H50" i="13"/>
  <c r="Q101" i="11"/>
  <c r="H101" i="11"/>
  <c r="I101" i="11" s="1"/>
  <c r="Q100" i="11"/>
  <c r="H100" i="11"/>
  <c r="I100" i="11" s="1"/>
  <c r="Q99" i="11"/>
  <c r="H99" i="11"/>
  <c r="I99" i="11" s="1"/>
  <c r="Q98" i="11"/>
  <c r="H98" i="11"/>
  <c r="I98" i="11" s="1"/>
  <c r="Q97" i="11"/>
  <c r="H97" i="11"/>
  <c r="I97" i="11" s="1"/>
  <c r="Q96" i="11"/>
  <c r="H96" i="11"/>
  <c r="I96" i="11" s="1"/>
  <c r="Q95" i="11"/>
  <c r="H95" i="11"/>
  <c r="I95" i="11" s="1"/>
  <c r="Q94" i="11"/>
  <c r="W94" i="11" s="1"/>
  <c r="H94" i="11"/>
  <c r="I94" i="11" s="1"/>
  <c r="Q93" i="11"/>
  <c r="H93" i="11"/>
  <c r="I93" i="11" s="1"/>
  <c r="Q92" i="11"/>
  <c r="S92" i="11" s="1"/>
  <c r="H92" i="11"/>
  <c r="I92" i="11" s="1"/>
  <c r="Q91" i="11"/>
  <c r="H91" i="11"/>
  <c r="I91" i="11" s="1"/>
  <c r="Q90" i="11"/>
  <c r="H90" i="11"/>
  <c r="I90" i="11" s="1"/>
  <c r="Q89" i="11"/>
  <c r="H89" i="11"/>
  <c r="I89" i="11" s="1"/>
  <c r="Q88" i="11"/>
  <c r="S88" i="11" s="1"/>
  <c r="H88" i="11"/>
  <c r="I88" i="11" s="1"/>
  <c r="Q87" i="11"/>
  <c r="H87" i="11"/>
  <c r="I87" i="11" s="1"/>
  <c r="Q86" i="11"/>
  <c r="H86" i="11"/>
  <c r="I86" i="11" s="1"/>
  <c r="Q85" i="11"/>
  <c r="H85" i="11"/>
  <c r="I85" i="11" s="1"/>
  <c r="Q84" i="11"/>
  <c r="H84" i="11"/>
  <c r="I84" i="11" s="1"/>
  <c r="Q83" i="11"/>
  <c r="H83" i="11"/>
  <c r="I83" i="11" s="1"/>
  <c r="Q82" i="11"/>
  <c r="S82" i="11" s="1"/>
  <c r="H82" i="11"/>
  <c r="I82" i="11" s="1"/>
  <c r="Q81" i="11"/>
  <c r="H81" i="11"/>
  <c r="I81" i="11" s="1"/>
  <c r="Q80" i="11"/>
  <c r="H80" i="11"/>
  <c r="I80" i="11" s="1"/>
  <c r="Q79" i="11"/>
  <c r="H79" i="11"/>
  <c r="I79" i="11" s="1"/>
  <c r="Q78" i="11"/>
  <c r="V78" i="11" s="1"/>
  <c r="H78" i="11"/>
  <c r="I78" i="11" s="1"/>
  <c r="Q77" i="11"/>
  <c r="T77" i="11" s="1"/>
  <c r="H77" i="11"/>
  <c r="I77" i="11" s="1"/>
  <c r="Q76" i="11"/>
  <c r="U76" i="11" s="1"/>
  <c r="H76" i="11"/>
  <c r="I76" i="11" s="1"/>
  <c r="Q75" i="11"/>
  <c r="H75" i="11"/>
  <c r="I75" i="11" s="1"/>
  <c r="Q74" i="11"/>
  <c r="S74" i="11" s="1"/>
  <c r="H74" i="11"/>
  <c r="I74" i="11" s="1"/>
  <c r="Q73" i="11"/>
  <c r="H73" i="11"/>
  <c r="I73" i="11" s="1"/>
  <c r="Q72" i="11"/>
  <c r="H72" i="11"/>
  <c r="I72" i="11" s="1"/>
  <c r="Q71" i="11"/>
  <c r="H71" i="11"/>
  <c r="I71" i="11" s="1"/>
  <c r="Q70" i="11"/>
  <c r="U70" i="11" s="1"/>
  <c r="H70" i="11"/>
  <c r="I70" i="11" s="1"/>
  <c r="Q69" i="11"/>
  <c r="T69" i="11" s="1"/>
  <c r="H69" i="11"/>
  <c r="I69" i="11" s="1"/>
  <c r="Q68" i="11"/>
  <c r="V68" i="11" s="1"/>
  <c r="H68" i="11"/>
  <c r="I68" i="11" s="1"/>
  <c r="Q67" i="11"/>
  <c r="T67" i="11" s="1"/>
  <c r="H67" i="11"/>
  <c r="I67" i="11" s="1"/>
  <c r="Q66" i="11"/>
  <c r="H66" i="11"/>
  <c r="I66" i="11" s="1"/>
  <c r="Q65" i="11"/>
  <c r="H65" i="11"/>
  <c r="I65" i="11" s="1"/>
  <c r="Q64" i="11"/>
  <c r="H64" i="11"/>
  <c r="I64" i="11" s="1"/>
  <c r="Q63" i="11"/>
  <c r="H63" i="11"/>
  <c r="I63" i="11" s="1"/>
  <c r="Q62" i="11"/>
  <c r="V62" i="11" s="1"/>
  <c r="H62" i="11"/>
  <c r="I62" i="11" s="1"/>
  <c r="Q61" i="11"/>
  <c r="R61" i="11" s="1"/>
  <c r="H61" i="11"/>
  <c r="I61" i="11" s="1"/>
  <c r="Q60" i="11"/>
  <c r="R60" i="11" s="1"/>
  <c r="H60" i="11"/>
  <c r="I60" i="11" s="1"/>
  <c r="Q59" i="11"/>
  <c r="H59" i="11"/>
  <c r="I59" i="11" s="1"/>
  <c r="Q58" i="11"/>
  <c r="H58" i="11"/>
  <c r="I58" i="11" s="1"/>
  <c r="Q57" i="11"/>
  <c r="H57" i="11"/>
  <c r="I57" i="11" s="1"/>
  <c r="Q56" i="11"/>
  <c r="H56" i="11"/>
  <c r="I56" i="11" s="1"/>
  <c r="Q55" i="11"/>
  <c r="R55" i="11" s="1"/>
  <c r="H55" i="11"/>
  <c r="I55" i="11" s="1"/>
  <c r="Q54" i="11"/>
  <c r="R54" i="11" s="1"/>
  <c r="H54" i="11"/>
  <c r="I54" i="11" s="1"/>
  <c r="Q51" i="11"/>
  <c r="R51" i="11" s="1"/>
  <c r="H51" i="11"/>
  <c r="I51" i="11" s="1"/>
  <c r="Q50" i="11"/>
  <c r="H50" i="11"/>
  <c r="I50" i="11" s="1"/>
  <c r="Q49" i="11"/>
  <c r="R49" i="11" s="1"/>
  <c r="H49" i="11"/>
  <c r="I49" i="11" s="1"/>
  <c r="Q48" i="11"/>
  <c r="R48" i="11" s="1"/>
  <c r="H48" i="11"/>
  <c r="I48" i="11" s="1"/>
  <c r="Q47" i="11"/>
  <c r="H47" i="11"/>
  <c r="I47" i="11" s="1"/>
  <c r="Q46" i="11"/>
  <c r="H46" i="11"/>
  <c r="I46" i="11" s="1"/>
  <c r="Q45" i="11"/>
  <c r="H45" i="11"/>
  <c r="I45" i="11" s="1"/>
  <c r="Q44" i="11"/>
  <c r="H44" i="11"/>
  <c r="I44" i="11" s="1"/>
  <c r="Q41" i="11"/>
  <c r="H41" i="11"/>
  <c r="I41" i="11" s="1"/>
  <c r="Q40" i="11"/>
  <c r="S40" i="11" s="1"/>
  <c r="H40" i="11"/>
  <c r="I40" i="11" s="1"/>
  <c r="Q39" i="11"/>
  <c r="H39" i="11"/>
  <c r="I39" i="11" s="1"/>
  <c r="Q38" i="11"/>
  <c r="U38" i="11" s="1"/>
  <c r="H38" i="11"/>
  <c r="I38" i="11" s="1"/>
  <c r="Q37" i="11"/>
  <c r="H37" i="11"/>
  <c r="I37" i="11" s="1"/>
  <c r="Q36" i="11"/>
  <c r="R36" i="11" s="1"/>
  <c r="H36" i="11"/>
  <c r="I36" i="11" s="1"/>
  <c r="Q35" i="11"/>
  <c r="H35" i="11"/>
  <c r="I35" i="11" s="1"/>
  <c r="Z33" i="11" s="1"/>
  <c r="Q34" i="11"/>
  <c r="H34" i="11"/>
  <c r="I34" i="11" s="1"/>
  <c r="Z32" i="11" s="1"/>
  <c r="T32" i="11" s="1"/>
  <c r="Q31" i="11"/>
  <c r="H31" i="11"/>
  <c r="I31" i="11" s="1"/>
  <c r="Q30" i="11"/>
  <c r="H30" i="11"/>
  <c r="I30" i="11" s="1"/>
  <c r="Q29" i="11"/>
  <c r="U29" i="11" s="1"/>
  <c r="H29" i="11"/>
  <c r="I29" i="11" s="1"/>
  <c r="Q28" i="11"/>
  <c r="H28" i="11"/>
  <c r="I28" i="11" s="1"/>
  <c r="Q27" i="11"/>
  <c r="H27" i="11"/>
  <c r="I27" i="11" s="1"/>
  <c r="Q26" i="11"/>
  <c r="S26" i="11" s="1"/>
  <c r="H26" i="11"/>
  <c r="I26" i="11" s="1"/>
  <c r="Q24" i="11"/>
  <c r="H24" i="11"/>
  <c r="I24" i="11" s="1"/>
  <c r="Q21" i="11"/>
  <c r="Q20" i="11"/>
  <c r="W20" i="11" s="1"/>
  <c r="Q19" i="11"/>
  <c r="S19" i="11" s="1"/>
  <c r="I19" i="11"/>
  <c r="Q18" i="11"/>
  <c r="V18" i="11" s="1"/>
  <c r="I18" i="11"/>
  <c r="Q17" i="11"/>
  <c r="I17" i="11"/>
  <c r="Q16" i="11"/>
  <c r="I16" i="11"/>
  <c r="Q15" i="11"/>
  <c r="I15" i="11"/>
  <c r="Q14" i="11"/>
  <c r="I14" i="11"/>
  <c r="Q5" i="11"/>
  <c r="R5" i="11" s="1"/>
  <c r="Q6" i="11"/>
  <c r="Q7" i="11"/>
  <c r="R7" i="11" s="1"/>
  <c r="Q8" i="11"/>
  <c r="Q9" i="11"/>
  <c r="Q10" i="11"/>
  <c r="Q11" i="11"/>
  <c r="Q4" i="11"/>
  <c r="H11" i="11"/>
  <c r="I11" i="11" s="1"/>
  <c r="H10" i="11"/>
  <c r="I10" i="11" s="1"/>
  <c r="H9" i="11"/>
  <c r="I9" i="11" s="1"/>
  <c r="H8" i="11"/>
  <c r="I8" i="11" s="1"/>
  <c r="H7" i="11"/>
  <c r="I7" i="11" s="1"/>
  <c r="H6" i="11"/>
  <c r="I6" i="11" s="1"/>
  <c r="H5" i="11"/>
  <c r="I5" i="11" s="1"/>
  <c r="H4" i="11"/>
  <c r="I4" i="11" s="1"/>
  <c r="R45" i="11" l="1"/>
  <c r="S45" i="11"/>
  <c r="T35" i="11"/>
  <c r="U35" i="11"/>
  <c r="U34" i="11"/>
  <c r="T34" i="11"/>
  <c r="T44" i="11"/>
  <c r="R44" i="11"/>
  <c r="S44" i="11"/>
  <c r="R50" i="11"/>
  <c r="Y50" i="11" s="1"/>
  <c r="S50" i="11"/>
  <c r="C42" i="7"/>
  <c r="C52" i="11"/>
  <c r="C53" i="11"/>
  <c r="R39" i="11"/>
  <c r="S39" i="11"/>
  <c r="Y39" i="11" s="1"/>
  <c r="V24" i="11"/>
  <c r="U24" i="11"/>
  <c r="T24" i="11"/>
  <c r="Y24" i="11" s="1"/>
  <c r="V33" i="11"/>
  <c r="U33" i="11"/>
  <c r="V32" i="11"/>
  <c r="U32" i="11"/>
  <c r="U27" i="11"/>
  <c r="T27" i="11"/>
  <c r="U31" i="11"/>
  <c r="V31" i="11"/>
  <c r="W14" i="11"/>
  <c r="V14" i="11"/>
  <c r="U16" i="11"/>
  <c r="T16" i="11"/>
  <c r="U15" i="11"/>
  <c r="V15" i="11"/>
  <c r="W15" i="11"/>
  <c r="U17" i="11"/>
  <c r="V17" i="11"/>
  <c r="W78" i="11"/>
  <c r="R46" i="11"/>
  <c r="S38" i="11"/>
  <c r="T38" i="11"/>
  <c r="U20" i="11"/>
  <c r="V20" i="11"/>
  <c r="R41" i="11"/>
  <c r="S41" i="11"/>
  <c r="C69" i="11"/>
  <c r="C57" i="7" s="1"/>
  <c r="H65" i="13"/>
  <c r="C68" i="11"/>
  <c r="C56" i="7" s="1"/>
  <c r="H64" i="13"/>
  <c r="C67" i="11"/>
  <c r="C55" i="7" s="1"/>
  <c r="H63" i="13"/>
  <c r="C66" i="11"/>
  <c r="C54" i="7" s="1"/>
  <c r="H62" i="13"/>
  <c r="C65" i="11"/>
  <c r="C53" i="7" s="1"/>
  <c r="H61" i="13"/>
  <c r="C64" i="11"/>
  <c r="C52" i="7" s="1"/>
  <c r="H60" i="13"/>
  <c r="C63" i="11"/>
  <c r="C51" i="7" s="1"/>
  <c r="H59" i="13"/>
  <c r="C62" i="11"/>
  <c r="C50" i="7" s="1"/>
  <c r="H58" i="13"/>
  <c r="T40" i="11"/>
  <c r="W70" i="11"/>
  <c r="R88" i="11"/>
  <c r="Y88" i="11" s="1"/>
  <c r="F92" i="13" s="1"/>
  <c r="Y78" i="11"/>
  <c r="S34" i="11"/>
  <c r="S29" i="11"/>
  <c r="V28" i="11"/>
  <c r="T28" i="11"/>
  <c r="S31" i="11"/>
  <c r="T31" i="11"/>
  <c r="V30" i="11"/>
  <c r="T30" i="11"/>
  <c r="I21" i="11"/>
  <c r="I20" i="11"/>
  <c r="S68" i="11"/>
  <c r="R76" i="11"/>
  <c r="S80" i="11"/>
  <c r="V86" i="11"/>
  <c r="R90" i="11"/>
  <c r="R100" i="11"/>
  <c r="Y100" i="11" s="1"/>
  <c r="V76" i="11"/>
  <c r="S48" i="11"/>
  <c r="Y54" i="11"/>
  <c r="F58" i="13" s="1"/>
  <c r="S66" i="11"/>
  <c r="T68" i="11"/>
  <c r="T70" i="11"/>
  <c r="R72" i="11"/>
  <c r="S76" i="11"/>
  <c r="W86" i="11"/>
  <c r="S90" i="11"/>
  <c r="R96" i="11"/>
  <c r="Y96" i="11" s="1"/>
  <c r="R6" i="11"/>
  <c r="R10" i="11"/>
  <c r="Y5" i="11"/>
  <c r="F19" i="13" s="1"/>
  <c r="R9" i="11"/>
  <c r="Y9" i="11" s="1"/>
  <c r="F23" i="13" s="1"/>
  <c r="S16" i="11"/>
  <c r="T48" i="11"/>
  <c r="S64" i="11"/>
  <c r="T66" i="11"/>
  <c r="V70" i="11"/>
  <c r="S72" i="11"/>
  <c r="R74" i="11"/>
  <c r="Y74" i="11" s="1"/>
  <c r="F78" i="13" s="1"/>
  <c r="T76" i="11"/>
  <c r="S84" i="11"/>
  <c r="R92" i="11"/>
  <c r="V94" i="11"/>
  <c r="R98" i="11"/>
  <c r="Y98" i="11" s="1"/>
  <c r="F102" i="13" s="1"/>
  <c r="R97" i="11"/>
  <c r="Y97" i="11" s="1"/>
  <c r="W95" i="11"/>
  <c r="V95" i="11"/>
  <c r="Y95" i="11" s="1"/>
  <c r="R99" i="11"/>
  <c r="Y99" i="11" s="1"/>
  <c r="R101" i="11"/>
  <c r="Y101" i="11" s="1"/>
  <c r="W87" i="11"/>
  <c r="S89" i="11"/>
  <c r="S91" i="11"/>
  <c r="S93" i="11"/>
  <c r="V87" i="11"/>
  <c r="R89" i="11"/>
  <c r="Y89" i="11" s="1"/>
  <c r="R91" i="11"/>
  <c r="R93" i="11"/>
  <c r="Y93" i="11" s="1"/>
  <c r="F127" i="13" s="1"/>
  <c r="V79" i="11"/>
  <c r="R81" i="11"/>
  <c r="R83" i="11"/>
  <c r="R85" i="11"/>
  <c r="W79" i="11"/>
  <c r="S81" i="11"/>
  <c r="S83" i="11"/>
  <c r="S85" i="11"/>
  <c r="R80" i="11"/>
  <c r="R82" i="11"/>
  <c r="R84" i="11"/>
  <c r="U71" i="11"/>
  <c r="U77" i="11"/>
  <c r="W71" i="11"/>
  <c r="S73" i="11"/>
  <c r="S75" i="11"/>
  <c r="S77" i="11"/>
  <c r="V71" i="11"/>
  <c r="R73" i="11"/>
  <c r="Y73" i="11" s="1"/>
  <c r="F123" i="13" s="1"/>
  <c r="R75" i="11"/>
  <c r="Y75" i="11" s="1"/>
  <c r="R77" i="11"/>
  <c r="U69" i="11"/>
  <c r="V63" i="11"/>
  <c r="R65" i="11"/>
  <c r="R67" i="11"/>
  <c r="R69" i="11"/>
  <c r="U62" i="11"/>
  <c r="Y62" i="11" s="1"/>
  <c r="F120" i="13" s="1"/>
  <c r="W63" i="11"/>
  <c r="S65" i="11"/>
  <c r="S67" i="11"/>
  <c r="U68" i="11"/>
  <c r="S69" i="11"/>
  <c r="R64" i="11"/>
  <c r="R66" i="11"/>
  <c r="R57" i="11"/>
  <c r="R59" i="11"/>
  <c r="R56" i="11"/>
  <c r="R58" i="11"/>
  <c r="R47" i="11"/>
  <c r="U40" i="11"/>
  <c r="R37" i="11"/>
  <c r="S27" i="11"/>
  <c r="U28" i="11"/>
  <c r="U30" i="11"/>
  <c r="U18" i="11"/>
  <c r="Y18" i="11" s="1"/>
  <c r="R4" i="11"/>
  <c r="Y4" i="11" s="1"/>
  <c r="F18" i="13" s="1"/>
  <c r="R11" i="11"/>
  <c r="R8" i="11"/>
  <c r="Y80" i="11" l="1"/>
  <c r="Y84" i="11"/>
  <c r="Y34" i="11"/>
  <c r="Y56" i="11"/>
  <c r="Y69" i="11"/>
  <c r="Y32" i="11"/>
  <c r="F114" i="13" s="1"/>
  <c r="Y33" i="11"/>
  <c r="F115" i="13" s="1"/>
  <c r="Y64" i="11"/>
  <c r="F68" i="13" s="1"/>
  <c r="Y46" i="11"/>
  <c r="F52" i="13" s="1"/>
  <c r="Y51" i="11"/>
  <c r="F57" i="13" s="1"/>
  <c r="Y58" i="11"/>
  <c r="F62" i="13" s="1"/>
  <c r="Y41" i="11"/>
  <c r="F49" i="13" s="1"/>
  <c r="Y63" i="11"/>
  <c r="F33" i="13"/>
  <c r="Y40" i="11"/>
  <c r="F48" i="13" s="1"/>
  <c r="C77" i="11"/>
  <c r="C65" i="7" s="1"/>
  <c r="H73" i="13"/>
  <c r="C76" i="11"/>
  <c r="C64" i="7" s="1"/>
  <c r="H72" i="13"/>
  <c r="C75" i="11"/>
  <c r="C63" i="7" s="1"/>
  <c r="H71" i="13"/>
  <c r="C74" i="11"/>
  <c r="C62" i="7" s="1"/>
  <c r="H70" i="13"/>
  <c r="C73" i="11"/>
  <c r="C61" i="7" s="1"/>
  <c r="H69" i="13"/>
  <c r="C72" i="11"/>
  <c r="C60" i="7" s="1"/>
  <c r="H68" i="13"/>
  <c r="C71" i="11"/>
  <c r="C59" i="7" s="1"/>
  <c r="H67" i="13"/>
  <c r="C70" i="11"/>
  <c r="C58" i="7" s="1"/>
  <c r="H66" i="13"/>
  <c r="Y85" i="11"/>
  <c r="F89" i="13" s="1"/>
  <c r="Y92" i="11"/>
  <c r="Y70" i="11"/>
  <c r="F74" i="13" s="1"/>
  <c r="Y76" i="11"/>
  <c r="Y45" i="11"/>
  <c r="Y66" i="11"/>
  <c r="Y83" i="11"/>
  <c r="Y91" i="11"/>
  <c r="F95" i="13" s="1"/>
  <c r="F56" i="13"/>
  <c r="Y90" i="11"/>
  <c r="F94" i="13" s="1"/>
  <c r="Y68" i="11"/>
  <c r="F72" i="13" s="1"/>
  <c r="Y59" i="11"/>
  <c r="F63" i="13" s="1"/>
  <c r="Y55" i="11"/>
  <c r="F59" i="13" s="1"/>
  <c r="Y67" i="11"/>
  <c r="Y77" i="11"/>
  <c r="Y82" i="11"/>
  <c r="Y81" i="11"/>
  <c r="F85" i="13" s="1"/>
  <c r="Y48" i="11"/>
  <c r="F54" i="13" s="1"/>
  <c r="Y86" i="11"/>
  <c r="Y44" i="11"/>
  <c r="Y30" i="11"/>
  <c r="F40" i="13" s="1"/>
  <c r="Y60" i="11"/>
  <c r="F64" i="13" s="1"/>
  <c r="Y37" i="11"/>
  <c r="F45" i="13" s="1"/>
  <c r="Y49" i="11"/>
  <c r="F55" i="13" s="1"/>
  <c r="Y47" i="11"/>
  <c r="F53" i="13" s="1"/>
  <c r="Y57" i="11"/>
  <c r="Y61" i="11"/>
  <c r="F65" i="13" s="1"/>
  <c r="Y65" i="11"/>
  <c r="F69" i="13" s="1"/>
  <c r="Y71" i="11"/>
  <c r="F75" i="13" s="1"/>
  <c r="Y79" i="11"/>
  <c r="F83" i="13" s="1"/>
  <c r="Y87" i="11"/>
  <c r="F91" i="13" s="1"/>
  <c r="Y94" i="11"/>
  <c r="F98" i="13" s="1"/>
  <c r="Y72" i="11"/>
  <c r="Y29" i="11"/>
  <c r="F39" i="13" s="1"/>
  <c r="Y35" i="11"/>
  <c r="F43" i="13" s="1"/>
  <c r="Y27" i="11"/>
  <c r="F37" i="13" s="1"/>
  <c r="Y36" i="11"/>
  <c r="F44" i="13" s="1"/>
  <c r="Y38" i="11"/>
  <c r="F46" i="13" s="1"/>
  <c r="Y31" i="11"/>
  <c r="F41" i="13" s="1"/>
  <c r="Y26" i="11"/>
  <c r="F36" i="13" s="1"/>
  <c r="Y28" i="11"/>
  <c r="F38" i="13" s="1"/>
  <c r="Y19" i="11"/>
  <c r="F31" i="13" s="1"/>
  <c r="Y17" i="11"/>
  <c r="F29" i="13" s="1"/>
  <c r="Y16" i="11"/>
  <c r="F28" i="13" s="1"/>
  <c r="Y15" i="11"/>
  <c r="F27" i="13" s="1"/>
  <c r="F73" i="13"/>
  <c r="Y20" i="11"/>
  <c r="F32" i="13" s="1"/>
  <c r="Y7" i="11"/>
  <c r="F21" i="13" s="1"/>
  <c r="F82" i="13"/>
  <c r="F100" i="13"/>
  <c r="Y6" i="11"/>
  <c r="F20" i="13" s="1"/>
  <c r="Y11" i="11"/>
  <c r="F25" i="13" s="1"/>
  <c r="F34" i="13"/>
  <c r="F42" i="13"/>
  <c r="F79" i="13"/>
  <c r="F88" i="13"/>
  <c r="F103" i="13"/>
  <c r="Y14" i="11"/>
  <c r="F26" i="13" s="1"/>
  <c r="F66" i="13"/>
  <c r="Y10" i="11"/>
  <c r="F24" i="13" s="1"/>
  <c r="F104" i="13"/>
  <c r="Y8" i="11"/>
  <c r="F22" i="13" s="1"/>
  <c r="F105" i="13"/>
  <c r="F101" i="13"/>
  <c r="F99" i="13"/>
  <c r="F93" i="13"/>
  <c r="F97" i="13"/>
  <c r="F84" i="13"/>
  <c r="F77" i="13"/>
  <c r="F60" i="13"/>
  <c r="F47" i="13"/>
  <c r="F30" i="13"/>
  <c r="F76" i="13" l="1"/>
  <c r="F122" i="13"/>
  <c r="F86" i="13"/>
  <c r="F124" i="13"/>
  <c r="F87" i="13"/>
  <c r="F125" i="13"/>
  <c r="F67" i="13"/>
  <c r="F121" i="13"/>
  <c r="F96" i="13"/>
  <c r="F126" i="13"/>
  <c r="F61" i="13"/>
  <c r="F71" i="13"/>
  <c r="F70" i="13"/>
  <c r="F90" i="13"/>
  <c r="F51" i="13"/>
  <c r="F81" i="13"/>
  <c r="F50" i="13"/>
  <c r="F80" i="13"/>
  <c r="C85" i="11"/>
  <c r="C73" i="7" s="1"/>
  <c r="H81" i="13"/>
  <c r="C84" i="11"/>
  <c r="C72" i="7" s="1"/>
  <c r="H80" i="13"/>
  <c r="C83" i="11"/>
  <c r="C71" i="7" s="1"/>
  <c r="H79" i="13"/>
  <c r="C82" i="11"/>
  <c r="C70" i="7" s="1"/>
  <c r="H78" i="13"/>
  <c r="C81" i="11"/>
  <c r="C69" i="7" s="1"/>
  <c r="H77" i="13"/>
  <c r="C80" i="11"/>
  <c r="C68" i="7" s="1"/>
  <c r="H76" i="13"/>
  <c r="C79" i="11"/>
  <c r="C67" i="7" s="1"/>
  <c r="H75" i="13"/>
  <c r="C78" i="11"/>
  <c r="C66" i="7" s="1"/>
  <c r="H74" i="13"/>
  <c r="C93" i="11" l="1"/>
  <c r="C81" i="7" s="1"/>
  <c r="H89" i="13"/>
  <c r="C92" i="11"/>
  <c r="C80" i="7" s="1"/>
  <c r="H88" i="13"/>
  <c r="C91" i="11"/>
  <c r="C79" i="7" s="1"/>
  <c r="H87" i="13"/>
  <c r="C90" i="11"/>
  <c r="C78" i="7" s="1"/>
  <c r="H86" i="13"/>
  <c r="C89" i="11"/>
  <c r="C77" i="7" s="1"/>
  <c r="H85" i="13"/>
  <c r="C88" i="11"/>
  <c r="C76" i="7" s="1"/>
  <c r="H84" i="13"/>
  <c r="C87" i="11"/>
  <c r="C75" i="7" s="1"/>
  <c r="H83" i="13"/>
  <c r="C86" i="11"/>
  <c r="C74" i="7" s="1"/>
  <c r="H82" i="13"/>
  <c r="C101" i="11" l="1"/>
  <c r="H97" i="13"/>
  <c r="C100" i="11"/>
  <c r="H96" i="13"/>
  <c r="C99" i="11"/>
  <c r="H95" i="13"/>
  <c r="C98" i="11"/>
  <c r="H94" i="13"/>
  <c r="C97" i="11"/>
  <c r="H93" i="13"/>
  <c r="C96" i="11"/>
  <c r="H92" i="13"/>
  <c r="C95" i="11"/>
  <c r="H91" i="13"/>
  <c r="C94" i="11"/>
  <c r="H90" i="13"/>
  <c r="H105" i="13" l="1"/>
  <c r="C89" i="7"/>
  <c r="H104" i="13"/>
  <c r="C88" i="7"/>
  <c r="H103" i="13"/>
  <c r="C87" i="7"/>
  <c r="H102" i="13"/>
  <c r="C86" i="7"/>
  <c r="H101" i="13"/>
  <c r="C85" i="7"/>
  <c r="H100" i="13"/>
  <c r="C84" i="7"/>
  <c r="H99" i="13"/>
  <c r="C83" i="7"/>
  <c r="H98" i="13"/>
  <c r="C82" i="7"/>
</calcChain>
</file>

<file path=xl/sharedStrings.xml><?xml version="1.0" encoding="utf-8"?>
<sst xmlns="http://schemas.openxmlformats.org/spreadsheetml/2006/main" count="1429" uniqueCount="215">
  <si>
    <t>Cage #</t>
  </si>
  <si>
    <t>DOB</t>
  </si>
  <si>
    <t>Transfer Date</t>
  </si>
  <si>
    <t>Notes</t>
  </si>
  <si>
    <t>Groups:</t>
  </si>
  <si>
    <t>Name</t>
  </si>
  <si>
    <t>Abbreviation</t>
  </si>
  <si>
    <t>L</t>
  </si>
  <si>
    <t>Note: Try &amp; collect samples around same couple hour window each day.</t>
  </si>
  <si>
    <t>D4: Weigh mice &amp; collect 2 stool samples for CFU &amp; -80.</t>
  </si>
  <si>
    <t>D3: Weigh mice &amp; collect 2 stool samples for CFU &amp; -80.</t>
  </si>
  <si>
    <t>D2: Weigh mice &amp; collect 2 stool samples for CFU &amp; -80.</t>
  </si>
  <si>
    <t>Saturday</t>
  </si>
  <si>
    <t>Friday</t>
  </si>
  <si>
    <t>Thursday</t>
  </si>
  <si>
    <t>Wednseday</t>
  </si>
  <si>
    <t xml:space="preserve">Tuesday </t>
  </si>
  <si>
    <t>Monday</t>
  </si>
  <si>
    <t>Sunday</t>
  </si>
  <si>
    <t>D1: Weigh mice &amp; collect 2 stool samples for CFU &amp; -80. Autoclave &amp; return gavage needles to 1531</t>
  </si>
  <si>
    <t>Starting Cage Information in B604C:</t>
  </si>
  <si>
    <t>M/F</t>
  </si>
  <si>
    <t>QTY</t>
  </si>
  <si>
    <t>New Group</t>
  </si>
  <si>
    <t>Ear Mark</t>
  </si>
  <si>
    <t>New Cages Mice Go Into</t>
  </si>
  <si>
    <t>Commercial rodent chow: Lab Diet #5LOD</t>
  </si>
  <si>
    <t>F</t>
  </si>
  <si>
    <t xml:space="preserve">B604 Barcode </t>
  </si>
  <si>
    <t>New Cg Card #</t>
  </si>
  <si>
    <t xml:space="preserve">Group </t>
  </si>
  <si>
    <t>Mouse ID</t>
  </si>
  <si>
    <t>Previous Cage #</t>
  </si>
  <si>
    <t>Cage Card #</t>
  </si>
  <si>
    <t>Exp. Start</t>
  </si>
  <si>
    <t>Start Age (Weeks)</t>
  </si>
  <si>
    <t>Exp. End</t>
  </si>
  <si>
    <t>End Age (Weeks)</t>
  </si>
  <si>
    <t>Exp. Length (Days)</t>
  </si>
  <si>
    <t>N</t>
  </si>
  <si>
    <t>1R</t>
  </si>
  <si>
    <t>D2</t>
  </si>
  <si>
    <t>D1</t>
  </si>
  <si>
    <t>D0</t>
  </si>
  <si>
    <t>D-1</t>
  </si>
  <si>
    <t>D3</t>
  </si>
  <si>
    <t>D4</t>
  </si>
  <si>
    <t>D5</t>
  </si>
  <si>
    <t>Tube with sample</t>
  </si>
  <si>
    <t>Empty tube weight</t>
  </si>
  <si>
    <t>Spore inoculum count (Determined from 100 ul spore inoculum after 20 min of heating at 65C).</t>
  </si>
  <si>
    <t>undiluted</t>
  </si>
  <si>
    <r>
      <t>CFU 10</t>
    </r>
    <r>
      <rPr>
        <vertAlign val="superscript"/>
        <sz val="12"/>
        <color theme="1"/>
        <rFont val="Calibri (Body)"/>
      </rPr>
      <t xml:space="preserve">-1 </t>
    </r>
  </si>
  <si>
    <r>
      <t>CFU 10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/>
    </r>
  </si>
  <si>
    <r>
      <t>CFU 10</t>
    </r>
    <r>
      <rPr>
        <vertAlign val="superscript"/>
        <sz val="12"/>
        <color theme="1"/>
        <rFont val="Calibri (Body)"/>
      </rPr>
      <t>-3</t>
    </r>
    <r>
      <rPr>
        <sz val="12"/>
        <color theme="1"/>
        <rFont val="Calibri"/>
        <family val="2"/>
        <scheme val="minor"/>
      </rPr>
      <t/>
    </r>
  </si>
  <si>
    <r>
      <t>CFU 10</t>
    </r>
    <r>
      <rPr>
        <vertAlign val="superscript"/>
        <sz val="12"/>
        <color theme="1"/>
        <rFont val="Calibri (Body)"/>
      </rPr>
      <t>-4</t>
    </r>
    <r>
      <rPr>
        <sz val="12"/>
        <color theme="1"/>
        <rFont val="Calibri"/>
        <family val="2"/>
        <scheme val="minor"/>
      </rPr>
      <t/>
    </r>
  </si>
  <si>
    <t># of colonies</t>
  </si>
  <si>
    <t>TNTC: too numerous to count</t>
  </si>
  <si>
    <t>Spore stock calcluation:</t>
  </si>
  <si>
    <t>original dil. x dil. used for colony # x amount plated x # colonies on plate = n spores/ml in your ORIGINAL spore stock</t>
  </si>
  <si>
    <t>Spore inoculum (working stock) calculation:</t>
  </si>
  <si>
    <t>dil. used for colony # x amount plated x # colonies on plate = n spores/ml in your ORIGINAL spore stock</t>
  </si>
  <si>
    <t>Timepoint (day)</t>
  </si>
  <si>
    <t>Date</t>
  </si>
  <si>
    <t>Fecal weight (Empty tube-full tube)</t>
  </si>
  <si>
    <t>Amount Plated</t>
  </si>
  <si>
    <t>Dilution factor: 1/(amount plated/1000 ul)</t>
  </si>
  <si>
    <r>
      <t>CFU 10</t>
    </r>
    <r>
      <rPr>
        <vertAlign val="superscript"/>
        <sz val="12"/>
        <color theme="1"/>
        <rFont val="Calibri (Body)"/>
      </rPr>
      <t>-1</t>
    </r>
  </si>
  <si>
    <t>Avg CFU (for those mice with counts across multiple dilutions)</t>
  </si>
  <si>
    <t>PBS</t>
  </si>
  <si>
    <t>NT</t>
  </si>
  <si>
    <t>Stool 1:100</t>
  </si>
  <si>
    <t>D5: Weigh mice &amp; collect 2 stool samples for CFU &amp; -80.</t>
  </si>
  <si>
    <t>M</t>
  </si>
  <si>
    <t>"1:10^2"</t>
  </si>
  <si>
    <t>Full</t>
  </si>
  <si>
    <t>Mid</t>
  </si>
  <si>
    <t>Low</t>
  </si>
  <si>
    <t>unique_id</t>
  </si>
  <si>
    <t>R</t>
  </si>
  <si>
    <t>0, R</t>
  </si>
  <si>
    <t>group</t>
  </si>
  <si>
    <t>D-2</t>
  </si>
  <si>
    <t>D6</t>
  </si>
  <si>
    <t>D7</t>
  </si>
  <si>
    <t>D8</t>
  </si>
  <si>
    <t>D9</t>
  </si>
  <si>
    <t>D10</t>
  </si>
  <si>
    <t>Label</t>
  </si>
  <si>
    <t>1 tubes of 1000 ul total , add 970 ul ultrapure distilled water and 30 ul stock 630 stock (4C in 1504)</t>
  </si>
  <si>
    <t>1/24/19 josh prepaed stock</t>
  </si>
  <si>
    <t>conc</t>
  </si>
  <si>
    <t>volume</t>
  </si>
  <si>
    <t>desired working</t>
  </si>
  <si>
    <t>in 970 distilled</t>
  </si>
  <si>
    <t># spores in 25uL</t>
  </si>
  <si>
    <t>DNP</t>
  </si>
  <si>
    <r>
      <t>1:10 diltuion (ul PBS) to make 10</t>
    </r>
    <r>
      <rPr>
        <b/>
        <vertAlign val="superscript"/>
        <sz val="12"/>
        <color rgb="FF000000"/>
        <rFont val="Calibri (Body)"/>
      </rPr>
      <t>-1</t>
    </r>
    <r>
      <rPr>
        <b/>
        <sz val="12"/>
        <color rgb="FF000000"/>
        <rFont val="Calibri"/>
        <family val="2"/>
        <scheme val="minor"/>
      </rPr>
      <t xml:space="preserve"> diltuion (Fecal weight x 9000)</t>
    </r>
  </si>
  <si>
    <r>
      <t>CFU Counts (18-24hr post plating) CFU 10</t>
    </r>
    <r>
      <rPr>
        <b/>
        <vertAlign val="superscript"/>
        <sz val="12"/>
        <color rgb="FF000000"/>
        <rFont val="Calibri (Body)"/>
      </rPr>
      <t>-1</t>
    </r>
    <r>
      <rPr>
        <b/>
        <sz val="12"/>
        <color rgb="FF000000"/>
        <rFont val="Calibri"/>
        <family val="2"/>
        <scheme val="minor"/>
      </rPr>
      <t xml:space="preserve"> diltuion </t>
    </r>
  </si>
  <si>
    <r>
      <t>CFU 10</t>
    </r>
    <r>
      <rPr>
        <b/>
        <vertAlign val="superscript"/>
        <sz val="12"/>
        <color rgb="FF000000"/>
        <rFont val="Calibri (Body)"/>
      </rPr>
      <t>-2</t>
    </r>
    <r>
      <rPr>
        <b/>
        <sz val="12"/>
        <color rgb="FF000000"/>
        <rFont val="Calibri"/>
        <family val="2"/>
        <scheme val="minor"/>
      </rPr>
      <t xml:space="preserve"> diltuion</t>
    </r>
  </si>
  <si>
    <r>
      <t>CFU 10</t>
    </r>
    <r>
      <rPr>
        <b/>
        <vertAlign val="superscript"/>
        <sz val="12"/>
        <color rgb="FF000000"/>
        <rFont val="Calibri (Body)"/>
      </rPr>
      <t>-3</t>
    </r>
    <r>
      <rPr>
        <b/>
        <sz val="12"/>
        <color rgb="FF000000"/>
        <rFont val="Calibri"/>
        <family val="2"/>
        <scheme val="minor"/>
      </rPr>
      <t xml:space="preserve"> diltuion</t>
    </r>
  </si>
  <si>
    <r>
      <t>CFU 10</t>
    </r>
    <r>
      <rPr>
        <b/>
        <vertAlign val="superscript"/>
        <sz val="12"/>
        <color rgb="FF000000"/>
        <rFont val="Calibri (Body)"/>
      </rPr>
      <t>-4</t>
    </r>
    <r>
      <rPr>
        <b/>
        <sz val="12"/>
        <color rgb="FF000000"/>
        <rFont val="Calibri"/>
        <family val="2"/>
        <scheme val="minor"/>
      </rPr>
      <t xml:space="preserve"> diltuion</t>
    </r>
  </si>
  <si>
    <r>
      <t>CFU 10</t>
    </r>
    <r>
      <rPr>
        <b/>
        <vertAlign val="superscript"/>
        <sz val="12"/>
        <color rgb="FF000000"/>
        <rFont val="Calibri (Body)"/>
      </rPr>
      <t>-5</t>
    </r>
    <r>
      <rPr>
        <b/>
        <sz val="12"/>
        <color rgb="FF000000"/>
        <rFont val="Calibri"/>
        <family val="2"/>
        <scheme val="minor"/>
      </rPr>
      <t xml:space="preserve"> diltuion</t>
    </r>
  </si>
  <si>
    <r>
      <t>CFU 10</t>
    </r>
    <r>
      <rPr>
        <b/>
        <vertAlign val="superscript"/>
        <sz val="12"/>
        <color rgb="FF000000"/>
        <rFont val="Calibri (Body)"/>
      </rPr>
      <t>-6</t>
    </r>
    <r>
      <rPr>
        <b/>
        <sz val="12"/>
        <color rgb="FF000000"/>
        <rFont val="Calibri"/>
        <family val="2"/>
        <scheme val="minor"/>
      </rPr>
      <t xml:space="preserve"> diltuion</t>
    </r>
  </si>
  <si>
    <t>exp</t>
  </si>
  <si>
    <t>B604C</t>
  </si>
  <si>
    <t>C57BL</t>
  </si>
  <si>
    <t>Stool 1:10</t>
  </si>
  <si>
    <t>Stool 1:1000</t>
  </si>
  <si>
    <t>10^-1</t>
  </si>
  <si>
    <t>10^-3</t>
  </si>
  <si>
    <t xml:space="preserve">C. difficile CFU/g sample (from 10-1 diltuion) </t>
  </si>
  <si>
    <t xml:space="preserve">C. difficile CFU/g sample (from 10-2 diltuion) </t>
  </si>
  <si>
    <t xml:space="preserve">C. difficile CFU/g sample (from 10-3 diltuion) </t>
  </si>
  <si>
    <t xml:space="preserve">C. difficile CFU/g sample (from 10-4 diltuion) </t>
  </si>
  <si>
    <t xml:space="preserve">C. difficile CFU/g sample (from 10-5 diltuion) </t>
  </si>
  <si>
    <t xml:space="preserve">C. difficile CFU/g sample (from 10-6 diltuion) </t>
  </si>
  <si>
    <t>D0: Move mice to Biocontainment. Weigh mice &amp; collect 2 stool samples for CFU and -80. Change cages. Needles needed. Inoculate with C. difficile</t>
  </si>
  <si>
    <t>Counts, determined ~24 hours after 37C incubation on 4/30/19</t>
  </si>
  <si>
    <t>FMT</t>
  </si>
  <si>
    <t>Room</t>
  </si>
  <si>
    <t>Strain</t>
  </si>
  <si>
    <t>Male</t>
  </si>
  <si>
    <t>Age (Weeks)</t>
  </si>
  <si>
    <t>Full FMT (1:10)</t>
  </si>
  <si>
    <t xml:space="preserve">F </t>
  </si>
  <si>
    <t>Diluted feces into PBS and added 15% glycerol</t>
  </si>
  <si>
    <t>Mid FMT (1:100)</t>
  </si>
  <si>
    <t>Low FMT (1:1000)</t>
  </si>
  <si>
    <t>"1:10"</t>
  </si>
  <si>
    <t>"1:10^3"</t>
  </si>
  <si>
    <r>
      <t>Diluted 10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 xml:space="preserve"> through 10</t>
    </r>
    <r>
      <rPr>
        <vertAlign val="superscript"/>
        <sz val="12"/>
        <color theme="1"/>
        <rFont val="Calibri (Body)"/>
      </rPr>
      <t>-4</t>
    </r>
    <r>
      <rPr>
        <sz val="12"/>
        <color theme="1"/>
        <rFont val="Calibri"/>
        <family val="2"/>
        <scheme val="minor"/>
      </rPr>
      <t>. Plated 50ul per half plate for 10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 xml:space="preserve"> 10-4.</t>
    </r>
  </si>
  <si>
    <t>dilution</t>
  </si>
  <si>
    <t>amount plated</t>
  </si>
  <si>
    <t>desired vol</t>
  </si>
  <si>
    <t>UP water</t>
  </si>
  <si>
    <t>630 stock</t>
  </si>
  <si>
    <t>mouse_id</t>
  </si>
  <si>
    <t>ear_mark</t>
  </si>
  <si>
    <t>date</t>
  </si>
  <si>
    <t>day</t>
  </si>
  <si>
    <t>weight</t>
  </si>
  <si>
    <t>cfu</t>
  </si>
  <si>
    <t>D-2:  Ear punch and weigh mice + collect stool sample, put into exp. Group cages. Change cages. IP Clindamycin</t>
  </si>
  <si>
    <t>D-1: Collect stool and weigh mouse. Change cages. Needles needed. Inoculate mice with fecal dilution treatment.</t>
  </si>
  <si>
    <t xml:space="preserve">Making Clindamycin for IP </t>
  </si>
  <si>
    <t xml:space="preserve">Get a 20ml sterile bottle of saline – open it and remove and discard 10mL Add 10mg of Clindamycin (0.01g) to the bottle mix </t>
  </si>
  <si>
    <t>Concentration = 1mg/mL</t>
  </si>
  <si>
    <t xml:space="preserve">Bring bottle with syringes to animal room (each animal gets a new syringe) </t>
  </si>
  <si>
    <t xml:space="preserve">If I am doing a lot of animals I use the weights from the day before and prefill the syringes </t>
  </si>
  <si>
    <t xml:space="preserve">Video on how to do and IP: </t>
  </si>
  <si>
    <t xml:space="preserve">https://www.youtube.com/watch?v=Yi13OAshhSk&amp;list=PLsQhajrsEszblwAlLQyoOX1ghpeNn-lFF </t>
  </si>
  <si>
    <t>Each mouse gets 10mg/kg</t>
  </si>
  <si>
    <t xml:space="preserve">So if they are 20g they get 200uL of 1mg/mL clinda by IP </t>
  </si>
  <si>
    <t>Clindamycin: 10mg/kg</t>
  </si>
  <si>
    <t>Mice ~20-25g, and 8 mice, so need ~ 2mL</t>
  </si>
  <si>
    <t>Would aim for 3 mL but since 3 mg is on the lower end of the scales range, doubled to reduce error or variation in weight</t>
  </si>
  <si>
    <t>filter sterlize with 13mm 22um PVDF syringe filter</t>
  </si>
  <si>
    <t>PBS (uL)</t>
  </si>
  <si>
    <t>Glycerol (uL)</t>
  </si>
  <si>
    <t>total weight (g)</t>
  </si>
  <si>
    <t>Aliquoted 500uL into tube for storage at -80C, 500uL for inocula/sample for sequences</t>
  </si>
  <si>
    <t>Avg CFU</t>
  </si>
  <si>
    <t>Plated remaining inoculum after gavaging mice on 6/1/19</t>
  </si>
  <si>
    <t>Counts, determined ~24 hours after 37C incubation on 6/2/19</t>
  </si>
  <si>
    <t>PBS only</t>
  </si>
  <si>
    <t xml:space="preserve">150uL glycerol + 850uL PBS </t>
  </si>
  <si>
    <t>Tubes for inocula were spun @ 7500 RPM for 60s</t>
  </si>
  <si>
    <t>All tubes frozen after inoculation</t>
  </si>
  <si>
    <t>antibiotic</t>
  </si>
  <si>
    <t>Clindamycin</t>
  </si>
  <si>
    <t>DATE</t>
  </si>
  <si>
    <t>Collected stool from XX male mice ~7-11 weeks old</t>
  </si>
  <si>
    <t xml:space="preserve">Prepared spore inoculum (working stock "630 10^7") on DATE, in 1531 hood </t>
  </si>
  <si>
    <t>nt_4_0</t>
  </si>
  <si>
    <t>nt_4_R</t>
  </si>
  <si>
    <t>f_4_0</t>
  </si>
  <si>
    <t>f_4_R</t>
  </si>
  <si>
    <t>m_4_0</t>
  </si>
  <si>
    <t>m_4_R</t>
  </si>
  <si>
    <t>l_4_0</t>
  </si>
  <si>
    <t>l_4_R</t>
  </si>
  <si>
    <t>C57-103</t>
  </si>
  <si>
    <t>C57-107</t>
  </si>
  <si>
    <t>added 9.5 mg to 9.5 mL saline</t>
  </si>
  <si>
    <t>C57-110</t>
  </si>
  <si>
    <t>C57-100</t>
  </si>
  <si>
    <t>Collected ~15 fecal pellets</t>
  </si>
  <si>
    <t>Aliquoted into 5 tubes for storage at -80C, 500uL for inocula/sample for sequences</t>
  </si>
  <si>
    <t>Diluted 100uL of 1:10 dilution into 135uL glycerol + 765 uL PBS</t>
  </si>
  <si>
    <t>Diluted 100uL of 1:100 dilution into 135uL glycerol + 765 uL PBS</t>
  </si>
  <si>
    <t>TNTC</t>
  </si>
  <si>
    <t>ntod_4_1</t>
  </si>
  <si>
    <t>ntod_4_2</t>
  </si>
  <si>
    <t>NTod</t>
  </si>
  <si>
    <t>NA</t>
  </si>
  <si>
    <t>Stuck behind food, cold and slow moving and matted down ear/fur so likely dehydrated and did not pass stool</t>
  </si>
  <si>
    <t>used vol of NT-0</t>
  </si>
  <si>
    <t>used vol of NT-R</t>
  </si>
  <si>
    <t>actual first dilution for Ntod Day 3</t>
  </si>
  <si>
    <t>NT od</t>
  </si>
  <si>
    <t>NTod1</t>
  </si>
  <si>
    <t>NTod2</t>
  </si>
  <si>
    <t>Clinda only</t>
  </si>
  <si>
    <t>FMT #4</t>
  </si>
  <si>
    <t>No Treatment</t>
  </si>
  <si>
    <t>No PBS - One Day prior Clinda</t>
  </si>
  <si>
    <t>10^-2</t>
  </si>
  <si>
    <t>C57 103</t>
  </si>
  <si>
    <t>NT4</t>
  </si>
  <si>
    <t>F4</t>
  </si>
  <si>
    <t>M4</t>
  </si>
  <si>
    <t>L4</t>
  </si>
  <si>
    <t>treatment</t>
  </si>
  <si>
    <t>No PBS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</si>
</sst>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sz val="10"/>
      <name val="Arial"/>
      <family val="2"/>
    </font>
    <font>
      <vertAlign val="superscript"/>
      <sz val="12"/>
      <color theme="1"/>
      <name val="Calibri (Body)"/>
    </font>
    <font>
      <sz val="11"/>
      <color theme="1"/>
      <name val="Calibri"/>
      <family val="2"/>
    </font>
    <font>
      <b/>
      <vertAlign val="superscript"/>
      <sz val="12"/>
      <color rgb="FF000000"/>
      <name val="Calibri (Body)"/>
    </font>
    <font>
      <b/>
      <sz val="10"/>
      <color theme="1"/>
      <name val="Arial"/>
      <family val="2"/>
    </font>
    <font>
      <sz val="12"/>
      <color theme="1"/>
      <name val="Helvetica"/>
      <family val="2"/>
    </font>
    <font>
      <sz val="12"/>
      <color rgb="FF5E237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91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1"/>
    <xf numFmtId="0" fontId="4" fillId="0" borderId="0" xfId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1" applyFont="1" applyBorder="1" applyAlignment="1">
      <alignment horizont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6" fillId="0" borderId="0" xfId="0" applyFont="1"/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7" fillId="0" borderId="2" xfId="0" applyFont="1" applyBorder="1"/>
    <xf numFmtId="0" fontId="3" fillId="0" borderId="0" xfId="1" applyFont="1"/>
    <xf numFmtId="0" fontId="4" fillId="0" borderId="0" xfId="1" applyFont="1"/>
    <xf numFmtId="0" fontId="10" fillId="0" borderId="0" xfId="1" applyFont="1" applyAlignment="1">
      <alignment horizontal="right"/>
    </xf>
    <xf numFmtId="2" fontId="0" fillId="0" borderId="0" xfId="0" applyNumberFormat="1"/>
    <xf numFmtId="2" fontId="0" fillId="0" borderId="0" xfId="0" applyNumberFormat="1" applyFill="1" applyBorder="1" applyAlignment="1">
      <alignment horizontal="center"/>
    </xf>
    <xf numFmtId="0" fontId="5" fillId="0" borderId="0" xfId="0" applyFont="1"/>
    <xf numFmtId="16" fontId="0" fillId="0" borderId="1" xfId="0" applyNumberFormat="1" applyBorder="1"/>
    <xf numFmtId="0" fontId="2" fillId="0" borderId="0" xfId="0" applyFont="1"/>
    <xf numFmtId="11" fontId="0" fillId="0" borderId="0" xfId="0" applyNumberFormat="1"/>
    <xf numFmtId="11" fontId="0" fillId="0" borderId="1" xfId="0" applyNumberFormat="1" applyBorder="1"/>
    <xf numFmtId="0" fontId="1" fillId="0" borderId="0" xfId="0" applyFont="1" applyFill="1" applyBorder="1" applyAlignment="1">
      <alignment horizontal="center" wrapText="1"/>
    </xf>
    <xf numFmtId="20" fontId="4" fillId="0" borderId="0" xfId="0" applyNumberFormat="1" applyFont="1"/>
    <xf numFmtId="0" fontId="4" fillId="0" borderId="1" xfId="1" applyFont="1" applyBorder="1" applyAlignment="1">
      <alignment horizontal="center" vertical="center" wrapText="1"/>
    </xf>
    <xf numFmtId="0" fontId="4" fillId="0" borderId="0" xfId="1" applyAlignment="1">
      <alignment vertical="center" wrapText="1"/>
    </xf>
    <xf numFmtId="0" fontId="4" fillId="0" borderId="0" xfId="1" applyAlignment="1">
      <alignment vertical="center"/>
    </xf>
    <xf numFmtId="14" fontId="2" fillId="0" borderId="0" xfId="0" applyNumberFormat="1" applyFont="1"/>
    <xf numFmtId="0" fontId="0" fillId="2" borderId="1" xfId="0" applyFill="1" applyBorder="1"/>
    <xf numFmtId="0" fontId="0" fillId="0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7" xfId="0" applyBorder="1"/>
    <xf numFmtId="0" fontId="0" fillId="2" borderId="7" xfId="0" applyFill="1" applyBorder="1"/>
    <xf numFmtId="0" fontId="0" fillId="0" borderId="7" xfId="0" applyFill="1" applyBorder="1"/>
    <xf numFmtId="0" fontId="12" fillId="0" borderId="1" xfId="0" applyFont="1" applyBorder="1"/>
    <xf numFmtId="14" fontId="12" fillId="0" borderId="1" xfId="0" applyNumberFormat="1" applyFont="1" applyBorder="1"/>
    <xf numFmtId="0" fontId="12" fillId="0" borderId="0" xfId="0" applyFont="1" applyBorder="1"/>
    <xf numFmtId="14" fontId="12" fillId="0" borderId="0" xfId="0" applyNumberFormat="1" applyFont="1" applyBorder="1"/>
    <xf numFmtId="0" fontId="7" fillId="0" borderId="0" xfId="0" applyFont="1" applyFill="1" applyBorder="1"/>
    <xf numFmtId="0" fontId="8" fillId="0" borderId="5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6" xfId="0" applyFont="1" applyBorder="1"/>
    <xf numFmtId="0" fontId="12" fillId="0" borderId="0" xfId="0" applyFont="1"/>
    <xf numFmtId="14" fontId="12" fillId="0" borderId="0" xfId="0" applyNumberFormat="1" applyFont="1"/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4" fontId="7" fillId="4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4" borderId="2" xfId="0" applyFont="1" applyFill="1" applyBorder="1"/>
    <xf numFmtId="0" fontId="7" fillId="4" borderId="6" xfId="0" applyFont="1" applyFill="1" applyBorder="1"/>
    <xf numFmtId="11" fontId="0" fillId="4" borderId="1" xfId="0" applyNumberFormat="1" applyFill="1" applyBorder="1"/>
    <xf numFmtId="0" fontId="0" fillId="4" borderId="0" xfId="0" applyFill="1"/>
    <xf numFmtId="0" fontId="7" fillId="0" borderId="0" xfId="0" applyFont="1" applyBorder="1"/>
    <xf numFmtId="11" fontId="7" fillId="0" borderId="0" xfId="0" applyNumberFormat="1" applyFont="1" applyBorder="1"/>
    <xf numFmtId="0" fontId="7" fillId="4" borderId="0" xfId="0" applyFont="1" applyFill="1" applyBorder="1"/>
    <xf numFmtId="11" fontId="7" fillId="4" borderId="0" xfId="0" applyNumberFormat="1" applyFont="1" applyFill="1" applyBorder="1"/>
    <xf numFmtId="0" fontId="7" fillId="3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14" fontId="7" fillId="4" borderId="9" xfId="0" applyNumberFormat="1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9" xfId="0" applyFont="1" applyFill="1" applyBorder="1"/>
    <xf numFmtId="0" fontId="7" fillId="4" borderId="9" xfId="0" applyFont="1" applyFill="1" applyBorder="1"/>
    <xf numFmtId="0" fontId="7" fillId="4" borderId="10" xfId="0" applyFont="1" applyFill="1" applyBorder="1"/>
    <xf numFmtId="11" fontId="0" fillId="4" borderId="11" xfId="0" applyNumberFormat="1" applyFill="1" applyBorder="1"/>
    <xf numFmtId="0" fontId="7" fillId="4" borderId="12" xfId="0" applyFont="1" applyFill="1" applyBorder="1"/>
    <xf numFmtId="11" fontId="7" fillId="4" borderId="12" xfId="0" applyNumberFormat="1" applyFont="1" applyFill="1" applyBorder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0" fontId="7" fillId="0" borderId="13" xfId="0" applyFont="1" applyBorder="1"/>
    <xf numFmtId="11" fontId="7" fillId="0" borderId="13" xfId="0" applyNumberFormat="1" applyFont="1" applyBorder="1"/>
    <xf numFmtId="14" fontId="0" fillId="0" borderId="0" xfId="0" applyNumberFormat="1" applyFill="1" applyBorder="1" applyAlignment="1">
      <alignment horizontal="center"/>
    </xf>
    <xf numFmtId="11" fontId="0" fillId="0" borderId="0" xfId="0" applyNumberFormat="1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11" fontId="7" fillId="0" borderId="0" xfId="0" applyNumberFormat="1" applyFont="1" applyFill="1" applyBorder="1"/>
    <xf numFmtId="0" fontId="4" fillId="0" borderId="0" xfId="1" applyBorder="1"/>
    <xf numFmtId="0" fontId="3" fillId="0" borderId="0" xfId="1" applyFont="1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1" applyFont="1" applyBorder="1" applyAlignment="1">
      <alignment horizontal="left"/>
    </xf>
    <xf numFmtId="2" fontId="0" fillId="0" borderId="0" xfId="0" applyNumberFormat="1" applyBorder="1" applyAlignment="1">
      <alignment horizontal="center"/>
    </xf>
    <xf numFmtId="16" fontId="4" fillId="0" borderId="0" xfId="1" applyNumberFormat="1"/>
    <xf numFmtId="0" fontId="14" fillId="0" borderId="0" xfId="0" applyFont="1"/>
    <xf numFmtId="0" fontId="3" fillId="0" borderId="0" xfId="1" applyFont="1" applyAlignment="1">
      <alignment horizontal="right"/>
    </xf>
    <xf numFmtId="0" fontId="0" fillId="0" borderId="1" xfId="0" applyNumberFormat="1" applyBorder="1"/>
    <xf numFmtId="0" fontId="0" fillId="0" borderId="0" xfId="0" applyNumberFormat="1"/>
    <xf numFmtId="16" fontId="0" fillId="0" borderId="0" xfId="0" applyNumberFormat="1"/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0" fillId="0" borderId="7" xfId="0" applyNumberFormat="1" applyBorder="1"/>
    <xf numFmtId="11" fontId="0" fillId="0" borderId="3" xfId="0" applyNumberFormat="1" applyBorder="1"/>
    <xf numFmtId="14" fontId="0" fillId="0" borderId="0" xfId="0" applyNumberFormat="1"/>
    <xf numFmtId="0" fontId="15" fillId="0" borderId="0" xfId="0" applyFont="1"/>
    <xf numFmtId="0" fontId="0" fillId="0" borderId="0" xfId="0" applyFont="1"/>
    <xf numFmtId="0" fontId="16" fillId="0" borderId="0" xfId="0" applyFont="1"/>
    <xf numFmtId="0" fontId="0" fillId="2" borderId="14" xfId="0" applyFill="1" applyBorder="1"/>
    <xf numFmtId="0" fontId="7" fillId="4" borderId="5" xfId="0" applyFont="1" applyFill="1" applyBorder="1" applyAlignment="1">
      <alignment horizontal="center"/>
    </xf>
    <xf numFmtId="14" fontId="7" fillId="0" borderId="15" xfId="0" applyNumberFormat="1" applyFont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14" fontId="7" fillId="0" borderId="17" xfId="0" applyNumberFormat="1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7" fillId="0" borderId="20" xfId="0" applyFont="1" applyBorder="1" applyAlignment="1">
      <alignment horizontal="center"/>
    </xf>
    <xf numFmtId="0" fontId="0" fillId="0" borderId="21" xfId="0" applyBorder="1"/>
    <xf numFmtId="0" fontId="7" fillId="3" borderId="20" xfId="0" applyFont="1" applyFill="1" applyBorder="1" applyAlignment="1">
      <alignment horizontal="center"/>
    </xf>
    <xf numFmtId="0" fontId="0" fillId="2" borderId="21" xfId="0" applyFill="1" applyBorder="1"/>
    <xf numFmtId="0" fontId="0" fillId="0" borderId="21" xfId="0" applyFill="1" applyBorder="1"/>
    <xf numFmtId="0" fontId="7" fillId="3" borderId="22" xfId="0" applyFont="1" applyFill="1" applyBorder="1" applyAlignment="1">
      <alignment horizontal="center"/>
    </xf>
    <xf numFmtId="14" fontId="7" fillId="0" borderId="10" xfId="0" applyNumberFormat="1" applyFont="1" applyBorder="1" applyAlignment="1">
      <alignment horizontal="center"/>
    </xf>
    <xf numFmtId="0" fontId="0" fillId="2" borderId="11" xfId="0" applyFill="1" applyBorder="1"/>
    <xf numFmtId="0" fontId="0" fillId="2" borderId="23" xfId="0" applyFill="1" applyBorder="1"/>
    <xf numFmtId="0" fontId="0" fillId="0" borderId="3" xfId="0" applyBorder="1"/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1" fillId="0" borderId="14" xfId="0" applyFont="1" applyFill="1" applyBorder="1" applyAlignment="1">
      <alignment horizontal="center" wrapText="1"/>
    </xf>
    <xf numFmtId="0" fontId="1" fillId="0" borderId="24" xfId="0" applyFont="1" applyFill="1" applyBorder="1" applyAlignment="1">
      <alignment horizontal="center" wrapText="1"/>
    </xf>
    <xf numFmtId="0" fontId="0" fillId="0" borderId="25" xfId="0" applyBorder="1"/>
    <xf numFmtId="0" fontId="7" fillId="3" borderId="26" xfId="0" applyFont="1" applyFill="1" applyBorder="1" applyAlignment="1">
      <alignment horizontal="center"/>
    </xf>
    <xf numFmtId="0" fontId="0" fillId="2" borderId="27" xfId="0" applyFill="1" applyBorder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14" fontId="7" fillId="0" borderId="14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0" fillId="0" borderId="31" xfId="0" applyBorder="1"/>
    <xf numFmtId="0" fontId="0" fillId="0" borderId="32" xfId="0" applyBorder="1" applyAlignment="1">
      <alignment horizontal="center"/>
    </xf>
    <xf numFmtId="0" fontId="7" fillId="0" borderId="33" xfId="0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7" fillId="0" borderId="34" xfId="0" applyFont="1" applyBorder="1" applyAlignment="1">
      <alignment horizontal="center"/>
    </xf>
    <xf numFmtId="14" fontId="0" fillId="0" borderId="0" xfId="0" applyNumberFormat="1" applyFill="1" applyBorder="1"/>
    <xf numFmtId="0" fontId="0" fillId="0" borderId="4" xfId="0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4" fontId="7" fillId="4" borderId="5" xfId="0" applyNumberFormat="1" applyFont="1" applyFill="1" applyBorder="1" applyAlignment="1">
      <alignment horizontal="center"/>
    </xf>
    <xf numFmtId="0" fontId="7" fillId="4" borderId="5" xfId="0" applyFont="1" applyFill="1" applyBorder="1"/>
    <xf numFmtId="0" fontId="7" fillId="3" borderId="5" xfId="0" applyFont="1" applyFill="1" applyBorder="1"/>
    <xf numFmtId="0" fontId="7" fillId="4" borderId="15" xfId="0" applyFont="1" applyFill="1" applyBorder="1"/>
    <xf numFmtId="11" fontId="0" fillId="4" borderId="14" xfId="0" applyNumberFormat="1" applyFill="1" applyBorder="1"/>
    <xf numFmtId="0" fontId="7" fillId="4" borderId="1" xfId="0" applyFont="1" applyFill="1" applyBorder="1"/>
    <xf numFmtId="0" fontId="7" fillId="3" borderId="6" xfId="0" applyFont="1" applyFill="1" applyBorder="1"/>
    <xf numFmtId="14" fontId="7" fillId="0" borderId="5" xfId="0" applyNumberFormat="1" applyFont="1" applyBorder="1" applyAlignment="1">
      <alignment horizontal="center"/>
    </xf>
    <xf numFmtId="11" fontId="0" fillId="4" borderId="4" xfId="0" applyNumberFormat="1" applyFill="1" applyBorder="1"/>
    <xf numFmtId="0" fontId="7" fillId="4" borderId="1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11" fontId="0" fillId="0" borderId="14" xfId="0" applyNumberFormat="1" applyBorder="1"/>
    <xf numFmtId="11" fontId="0" fillId="4" borderId="3" xfId="0" applyNumberFormat="1" applyFill="1" applyBorder="1"/>
    <xf numFmtId="0" fontId="7" fillId="3" borderId="1" xfId="0" applyFont="1" applyFill="1" applyBorder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7" fillId="0" borderId="0" xfId="0" applyFont="1"/>
    <xf numFmtId="0" fontId="3" fillId="0" borderId="0" xfId="0" applyFont="1" applyBorder="1" applyAlignment="1">
      <alignment horizontal="center"/>
    </xf>
  </cellXfs>
  <cellStyles count="2">
    <cellStyle name="Normal" xfId="0" builtinId="0"/>
    <cellStyle name="Normal 2" xfId="1" xr:uid="{43518CBB-F662-064F-882F-9A9CB87714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25400</xdr:colOff>
      <xdr:row>7</xdr:row>
      <xdr:rowOff>25400</xdr:rowOff>
    </xdr:to>
    <xdr:pic>
      <xdr:nvPicPr>
        <xdr:cNvPr id="6" name="Picture 5" descr="page1image6344">
          <a:extLst>
            <a:ext uri="{FF2B5EF4-FFF2-40B4-BE49-F238E27FC236}">
              <a16:creationId xmlns:a16="http://schemas.microsoft.com/office/drawing/2014/main" id="{F9147CEB-1519-0445-BC39-C3CFB9286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25400</xdr:colOff>
      <xdr:row>7</xdr:row>
      <xdr:rowOff>25400</xdr:rowOff>
    </xdr:to>
    <xdr:pic>
      <xdr:nvPicPr>
        <xdr:cNvPr id="7" name="Picture 6" descr="page1image6504">
          <a:extLst>
            <a:ext uri="{FF2B5EF4-FFF2-40B4-BE49-F238E27FC236}">
              <a16:creationId xmlns:a16="http://schemas.microsoft.com/office/drawing/2014/main" id="{709A3F19-074A-A846-A57F-FB67A5FA1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7</xdr:row>
      <xdr:rowOff>0</xdr:rowOff>
    </xdr:from>
    <xdr:to>
      <xdr:col>0</xdr:col>
      <xdr:colOff>76200</xdr:colOff>
      <xdr:row>7</xdr:row>
      <xdr:rowOff>38100</xdr:rowOff>
    </xdr:to>
    <xdr:pic>
      <xdr:nvPicPr>
        <xdr:cNvPr id="8" name="Picture 7" descr="page1image6664">
          <a:extLst>
            <a:ext uri="{FF2B5EF4-FFF2-40B4-BE49-F238E27FC236}">
              <a16:creationId xmlns:a16="http://schemas.microsoft.com/office/drawing/2014/main" id="{22479493-5671-7449-A210-DFF0340E6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438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88900</xdr:colOff>
      <xdr:row>7</xdr:row>
      <xdr:rowOff>0</xdr:rowOff>
    </xdr:from>
    <xdr:to>
      <xdr:col>0</xdr:col>
      <xdr:colOff>114300</xdr:colOff>
      <xdr:row>7</xdr:row>
      <xdr:rowOff>25400</xdr:rowOff>
    </xdr:to>
    <xdr:pic>
      <xdr:nvPicPr>
        <xdr:cNvPr id="9" name="Picture 8" descr="page1image6824">
          <a:extLst>
            <a:ext uri="{FF2B5EF4-FFF2-40B4-BE49-F238E27FC236}">
              <a16:creationId xmlns:a16="http://schemas.microsoft.com/office/drawing/2014/main" id="{3CEC75CD-5F72-8544-9629-42998DE84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4384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8FC2-E72C-DE45-AF56-99AB6C2CCC1E}">
  <dimension ref="A1:D9"/>
  <sheetViews>
    <sheetView tabSelected="1" workbookViewId="0">
      <selection activeCell="B14" sqref="B14"/>
    </sheetView>
  </sheetViews>
  <sheetFormatPr baseColWidth="10" defaultRowHeight="16" x14ac:dyDescent="0.2"/>
  <cols>
    <col min="2" max="2" width="53.6640625" bestFit="1" customWidth="1"/>
    <col min="4" max="4" width="5.6640625" bestFit="1" customWidth="1"/>
  </cols>
  <sheetData>
    <row r="1" spans="1:4" x14ac:dyDescent="0.2">
      <c r="A1" t="s">
        <v>4</v>
      </c>
      <c r="B1" s="2" t="s">
        <v>5</v>
      </c>
      <c r="C1" s="2" t="s">
        <v>6</v>
      </c>
      <c r="D1" s="2" t="s">
        <v>88</v>
      </c>
    </row>
    <row r="2" spans="1:4" x14ac:dyDescent="0.2">
      <c r="B2" t="s">
        <v>206</v>
      </c>
      <c r="C2" s="4" t="s">
        <v>200</v>
      </c>
      <c r="D2" s="5" t="s">
        <v>200</v>
      </c>
    </row>
    <row r="3" spans="1:4" x14ac:dyDescent="0.2">
      <c r="A3" s="3"/>
      <c r="B3" t="s">
        <v>69</v>
      </c>
      <c r="C3" s="4" t="s">
        <v>70</v>
      </c>
      <c r="D3" s="5" t="s">
        <v>70</v>
      </c>
    </row>
    <row r="4" spans="1:4" x14ac:dyDescent="0.2">
      <c r="B4" t="s">
        <v>107</v>
      </c>
      <c r="C4" s="38" t="s">
        <v>109</v>
      </c>
      <c r="D4" s="6" t="s">
        <v>75</v>
      </c>
    </row>
    <row r="5" spans="1:4" x14ac:dyDescent="0.2">
      <c r="B5" t="s">
        <v>71</v>
      </c>
      <c r="C5" s="38" t="s">
        <v>207</v>
      </c>
      <c r="D5" s="5" t="s">
        <v>76</v>
      </c>
    </row>
    <row r="6" spans="1:4" x14ac:dyDescent="0.2">
      <c r="B6" t="s">
        <v>108</v>
      </c>
      <c r="C6" s="38" t="s">
        <v>110</v>
      </c>
      <c r="D6" s="6" t="s">
        <v>77</v>
      </c>
    </row>
    <row r="7" spans="1:4" x14ac:dyDescent="0.2">
      <c r="B7" t="s">
        <v>154</v>
      </c>
      <c r="C7" s="4"/>
    </row>
    <row r="8" spans="1:4" x14ac:dyDescent="0.2">
      <c r="C8" s="4"/>
    </row>
    <row r="9" spans="1:4" x14ac:dyDescent="0.2">
      <c r="C9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7F14-AC59-B943-8B3A-8FB3DD1292DA}">
  <sheetPr>
    <pageSetUpPr fitToPage="1"/>
  </sheetPr>
  <dimension ref="A1:Z28"/>
  <sheetViews>
    <sheetView workbookViewId="0">
      <selection activeCell="D31" sqref="D31"/>
    </sheetView>
  </sheetViews>
  <sheetFormatPr baseColWidth="10" defaultRowHeight="16" x14ac:dyDescent="0.2"/>
  <cols>
    <col min="1" max="1" width="16" bestFit="1" customWidth="1"/>
  </cols>
  <sheetData>
    <row r="1" spans="1:26" x14ac:dyDescent="0.2">
      <c r="A1" s="27" t="s">
        <v>119</v>
      </c>
      <c r="B1" s="7"/>
      <c r="C1" s="7"/>
      <c r="D1" s="7"/>
      <c r="E1" s="7"/>
    </row>
    <row r="2" spans="1:26" x14ac:dyDescent="0.2">
      <c r="A2" s="110" t="s">
        <v>171</v>
      </c>
      <c r="B2" s="7" t="s">
        <v>172</v>
      </c>
      <c r="C2" s="7"/>
      <c r="D2" s="7"/>
      <c r="E2" s="7"/>
    </row>
    <row r="3" spans="1:26" x14ac:dyDescent="0.2">
      <c r="A3" s="28"/>
      <c r="B3" s="111" t="s">
        <v>0</v>
      </c>
      <c r="C3" s="111" t="s">
        <v>1</v>
      </c>
      <c r="D3" s="111" t="s">
        <v>2</v>
      </c>
      <c r="E3" s="111" t="s">
        <v>120</v>
      </c>
      <c r="F3" s="111" t="s">
        <v>121</v>
      </c>
      <c r="G3" s="111" t="s">
        <v>122</v>
      </c>
      <c r="H3" s="111" t="s">
        <v>123</v>
      </c>
      <c r="I3" s="111"/>
      <c r="J3" s="111"/>
      <c r="K3" s="111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x14ac:dyDescent="0.2">
      <c r="A4" s="27"/>
      <c r="B4" s="34" t="s">
        <v>185</v>
      </c>
      <c r="C4" s="42">
        <v>43545</v>
      </c>
      <c r="D4" s="42">
        <v>43565</v>
      </c>
      <c r="E4" s="34" t="s">
        <v>105</v>
      </c>
      <c r="F4" s="34" t="s">
        <v>106</v>
      </c>
      <c r="G4" s="34">
        <v>3</v>
      </c>
      <c r="H4" s="34"/>
      <c r="I4" s="34">
        <v>11</v>
      </c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x14ac:dyDescent="0.2">
      <c r="A5" s="27"/>
      <c r="B5" s="34" t="s">
        <v>186</v>
      </c>
      <c r="C5" s="42">
        <v>43558</v>
      </c>
      <c r="D5" s="42">
        <v>43579</v>
      </c>
      <c r="E5" s="34" t="s">
        <v>105</v>
      </c>
      <c r="F5" s="34" t="s">
        <v>106</v>
      </c>
      <c r="G5" s="34">
        <v>3</v>
      </c>
      <c r="H5" s="34"/>
      <c r="I5" s="34">
        <v>9.1428571430000005</v>
      </c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x14ac:dyDescent="0.2">
      <c r="A6" s="29"/>
      <c r="B6" s="34"/>
      <c r="C6" s="34"/>
      <c r="D6" s="42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x14ac:dyDescent="0.2">
      <c r="A7" s="7"/>
      <c r="B7" s="7" t="s">
        <v>187</v>
      </c>
      <c r="C7" s="7"/>
      <c r="D7" s="7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26" x14ac:dyDescent="0.2">
      <c r="A8" s="27"/>
      <c r="B8" s="7">
        <f>8.2155-7.6796</f>
        <v>0.53590000000000071</v>
      </c>
      <c r="C8" s="7" t="s">
        <v>160</v>
      </c>
      <c r="D8" s="7"/>
      <c r="E8" s="24"/>
      <c r="F8" s="24"/>
      <c r="G8" s="104"/>
      <c r="H8" s="24"/>
      <c r="I8" s="24"/>
      <c r="J8" s="24"/>
      <c r="K8" s="24"/>
      <c r="L8" s="24"/>
      <c r="M8" s="24"/>
      <c r="N8" s="24"/>
      <c r="O8" s="24"/>
    </row>
    <row r="9" spans="1:26" x14ac:dyDescent="0.2">
      <c r="A9" s="112" t="s">
        <v>125</v>
      </c>
      <c r="D9" s="7"/>
      <c r="E9" s="24"/>
      <c r="F9" s="24"/>
      <c r="G9" s="24"/>
      <c r="H9" s="103"/>
      <c r="I9" s="103"/>
      <c r="J9" s="24"/>
      <c r="K9" s="24"/>
      <c r="L9" s="24"/>
      <c r="M9" s="24"/>
      <c r="N9" s="24"/>
      <c r="O9" s="24"/>
    </row>
    <row r="10" spans="1:26" x14ac:dyDescent="0.2">
      <c r="A10" t="s">
        <v>124</v>
      </c>
      <c r="B10" s="7" t="s">
        <v>126</v>
      </c>
      <c r="C10" s="7"/>
      <c r="E10" s="105"/>
      <c r="F10" s="24"/>
      <c r="G10" s="24"/>
      <c r="H10" s="24"/>
      <c r="I10" s="24"/>
      <c r="J10" s="24"/>
      <c r="K10" s="24"/>
      <c r="L10" s="24"/>
      <c r="M10" s="24"/>
      <c r="N10" s="24"/>
      <c r="O10" s="24"/>
    </row>
    <row r="11" spans="1:26" x14ac:dyDescent="0.2">
      <c r="C11" t="s">
        <v>158</v>
      </c>
      <c r="D11">
        <f>((B8*10)-(B8*2.5))*1000</f>
        <v>4019.250000000005</v>
      </c>
      <c r="E11" s="31"/>
      <c r="F11" s="24"/>
      <c r="G11" s="24"/>
      <c r="H11" s="103"/>
      <c r="I11" s="103"/>
      <c r="J11" s="24"/>
      <c r="K11" s="24"/>
      <c r="L11" s="24"/>
      <c r="M11" s="24"/>
      <c r="N11" s="24"/>
      <c r="O11" s="24"/>
    </row>
    <row r="12" spans="1:26" x14ac:dyDescent="0.2">
      <c r="C12" t="s">
        <v>159</v>
      </c>
      <c r="D12">
        <f>B8*1000*1.5</f>
        <v>803.85000000000105</v>
      </c>
      <c r="E12" s="24"/>
      <c r="F12" s="24"/>
      <c r="G12" s="24"/>
      <c r="H12" s="106"/>
      <c r="I12" s="106"/>
      <c r="J12" s="107"/>
      <c r="K12" s="108"/>
      <c r="L12" s="24"/>
      <c r="M12" s="24"/>
      <c r="N12" s="24"/>
      <c r="O12" s="24"/>
    </row>
    <row r="13" spans="1:26" x14ac:dyDescent="0.2">
      <c r="C13" t="s">
        <v>188</v>
      </c>
      <c r="E13" s="24"/>
      <c r="F13" s="24"/>
      <c r="G13" s="24"/>
      <c r="H13" s="106"/>
      <c r="I13" s="24"/>
      <c r="J13" s="106"/>
      <c r="K13" s="109"/>
      <c r="L13" s="24"/>
      <c r="M13" s="24"/>
      <c r="N13" s="24"/>
      <c r="O13" s="24"/>
    </row>
    <row r="14" spans="1:26" x14ac:dyDescent="0.2">
      <c r="A14" s="22" t="s">
        <v>73</v>
      </c>
      <c r="E14" s="24"/>
      <c r="F14" s="24"/>
      <c r="G14" s="24"/>
      <c r="H14" s="106"/>
      <c r="I14" s="24"/>
      <c r="J14" s="106"/>
      <c r="K14" s="109"/>
      <c r="L14" s="24"/>
      <c r="M14" s="24"/>
      <c r="N14" s="24"/>
      <c r="O14" s="24"/>
    </row>
    <row r="15" spans="1:26" x14ac:dyDescent="0.2">
      <c r="A15" t="s">
        <v>127</v>
      </c>
      <c r="B15" t="s">
        <v>189</v>
      </c>
      <c r="E15" s="24"/>
      <c r="F15" s="24"/>
      <c r="G15" s="24"/>
      <c r="H15" s="106"/>
      <c r="I15" s="24"/>
      <c r="J15" s="106"/>
      <c r="K15" s="109"/>
      <c r="L15" s="24"/>
      <c r="M15" s="24"/>
      <c r="N15" s="24"/>
      <c r="O15" s="24"/>
    </row>
    <row r="16" spans="1:26" x14ac:dyDescent="0.2">
      <c r="B16" t="s">
        <v>161</v>
      </c>
      <c r="E16" s="24"/>
      <c r="F16" s="24"/>
      <c r="G16" s="24"/>
      <c r="H16" s="106"/>
      <c r="I16" s="24"/>
      <c r="J16" s="106"/>
      <c r="K16" s="109"/>
      <c r="L16" s="24"/>
      <c r="M16" s="24"/>
      <c r="N16" s="24"/>
      <c r="O16" s="24"/>
    </row>
    <row r="17" spans="1:15" x14ac:dyDescent="0.2">
      <c r="A17" s="22" t="s">
        <v>7</v>
      </c>
      <c r="E17" s="24"/>
      <c r="F17" s="24"/>
      <c r="G17" s="24"/>
      <c r="H17" s="106"/>
      <c r="I17" s="24"/>
      <c r="J17" s="106"/>
      <c r="K17" s="109"/>
      <c r="L17" s="24"/>
      <c r="M17" s="24"/>
      <c r="N17" s="24"/>
      <c r="O17" s="24"/>
    </row>
    <row r="18" spans="1:15" x14ac:dyDescent="0.2">
      <c r="A18" t="s">
        <v>128</v>
      </c>
      <c r="B18" t="s">
        <v>190</v>
      </c>
      <c r="E18" s="24"/>
      <c r="F18" s="24"/>
      <c r="G18" s="24"/>
      <c r="H18" s="106"/>
      <c r="I18" s="24"/>
      <c r="J18" s="106"/>
      <c r="K18" s="109"/>
      <c r="L18" s="24"/>
      <c r="M18" s="24"/>
      <c r="N18" s="24"/>
      <c r="O18" s="24"/>
    </row>
    <row r="19" spans="1:15" x14ac:dyDescent="0.2">
      <c r="B19" t="s">
        <v>161</v>
      </c>
      <c r="E19" s="24"/>
      <c r="F19" s="24"/>
      <c r="G19" s="24"/>
      <c r="H19" s="106"/>
      <c r="I19" s="24"/>
      <c r="J19" s="106"/>
      <c r="K19" s="109"/>
      <c r="L19" s="24"/>
      <c r="M19" s="24"/>
      <c r="N19" s="24"/>
      <c r="O19" s="24"/>
    </row>
    <row r="20" spans="1:15" x14ac:dyDescent="0.2">
      <c r="A20" s="22" t="s">
        <v>70</v>
      </c>
      <c r="E20" s="24"/>
      <c r="F20" s="24"/>
      <c r="G20" s="24"/>
      <c r="H20" s="24"/>
      <c r="I20" s="24"/>
      <c r="J20" s="24"/>
      <c r="K20" s="105"/>
      <c r="L20" s="24"/>
      <c r="M20" s="24"/>
      <c r="N20" s="24"/>
      <c r="O20" s="24"/>
    </row>
    <row r="21" spans="1:15" x14ac:dyDescent="0.2">
      <c r="A21" t="s">
        <v>165</v>
      </c>
      <c r="B21" t="s">
        <v>166</v>
      </c>
      <c r="E21" s="24"/>
      <c r="F21" s="24"/>
      <c r="G21" s="24"/>
      <c r="H21" s="24"/>
      <c r="I21" s="24"/>
      <c r="J21" s="24"/>
      <c r="K21" s="31"/>
      <c r="L21" s="24"/>
      <c r="M21" s="24"/>
      <c r="N21" s="24"/>
      <c r="O21" s="24"/>
    </row>
    <row r="22" spans="1:15" x14ac:dyDescent="0.2">
      <c r="B22" t="s">
        <v>161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1:15" x14ac:dyDescent="0.2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1:15" x14ac:dyDescent="0.2">
      <c r="A24" t="s">
        <v>167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</row>
    <row r="25" spans="1:15" x14ac:dyDescent="0.2">
      <c r="A25" t="s">
        <v>168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1:15" x14ac:dyDescent="0.2"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  <row r="27" spans="1:15" x14ac:dyDescent="0.2"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spans="1:15" x14ac:dyDescent="0.2"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</row>
  </sheetData>
  <pageMargins left="0.7" right="0.7" top="0.75" bottom="0.75" header="0.3" footer="0.3"/>
  <pageSetup scale="82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5D5B0-56F0-B74B-8506-92E99D61CF5F}">
  <dimension ref="A1:A20"/>
  <sheetViews>
    <sheetView workbookViewId="0">
      <selection activeCell="A21" sqref="A21"/>
    </sheetView>
  </sheetViews>
  <sheetFormatPr baseColWidth="10" defaultRowHeight="16" x14ac:dyDescent="0.2"/>
  <sheetData>
    <row r="1" spans="1:1" x14ac:dyDescent="0.2">
      <c r="A1" s="122" t="s">
        <v>145</v>
      </c>
    </row>
    <row r="2" spans="1:1" x14ac:dyDescent="0.2">
      <c r="A2" s="123"/>
    </row>
    <row r="3" spans="1:1" x14ac:dyDescent="0.2">
      <c r="A3" s="122" t="s">
        <v>146</v>
      </c>
    </row>
    <row r="4" spans="1:1" x14ac:dyDescent="0.2">
      <c r="A4" s="123"/>
    </row>
    <row r="5" spans="1:1" x14ac:dyDescent="0.2">
      <c r="A5" s="122" t="s">
        <v>147</v>
      </c>
    </row>
    <row r="6" spans="1:1" x14ac:dyDescent="0.2">
      <c r="A6" s="122" t="s">
        <v>148</v>
      </c>
    </row>
    <row r="7" spans="1:1" x14ac:dyDescent="0.2">
      <c r="A7" s="123"/>
    </row>
    <row r="8" spans="1:1" x14ac:dyDescent="0.2">
      <c r="A8" s="122" t="s">
        <v>149</v>
      </c>
    </row>
    <row r="9" spans="1:1" x14ac:dyDescent="0.2">
      <c r="A9" s="123"/>
    </row>
    <row r="10" spans="1:1" x14ac:dyDescent="0.2">
      <c r="A10" s="122" t="s">
        <v>150</v>
      </c>
    </row>
    <row r="11" spans="1:1" x14ac:dyDescent="0.2">
      <c r="A11" s="123"/>
    </row>
    <row r="12" spans="1:1" x14ac:dyDescent="0.2">
      <c r="A12" s="124" t="s">
        <v>151</v>
      </c>
    </row>
    <row r="13" spans="1:1" x14ac:dyDescent="0.2">
      <c r="A13" s="123"/>
    </row>
    <row r="14" spans="1:1" x14ac:dyDescent="0.2">
      <c r="A14" s="122" t="s">
        <v>152</v>
      </c>
    </row>
    <row r="15" spans="1:1" x14ac:dyDescent="0.2">
      <c r="A15" s="122" t="s">
        <v>153</v>
      </c>
    </row>
    <row r="17" spans="1:1" x14ac:dyDescent="0.2">
      <c r="A17" t="s">
        <v>155</v>
      </c>
    </row>
    <row r="18" spans="1:1" x14ac:dyDescent="0.2">
      <c r="A18" t="s">
        <v>156</v>
      </c>
    </row>
    <row r="19" spans="1:1" x14ac:dyDescent="0.2">
      <c r="A19" t="s">
        <v>184</v>
      </c>
    </row>
    <row r="20" spans="1:1" x14ac:dyDescent="0.2">
      <c r="A20" t="s">
        <v>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A378-FFD5-0C41-A99D-48AF3837D82C}">
  <sheetPr>
    <pageSetUpPr fitToPage="1"/>
  </sheetPr>
  <dimension ref="A1:G6"/>
  <sheetViews>
    <sheetView workbookViewId="0">
      <selection activeCell="A6" sqref="A6"/>
    </sheetView>
  </sheetViews>
  <sheetFormatPr baseColWidth="10" defaultColWidth="8.83203125" defaultRowHeight="13" x14ac:dyDescent="0.15"/>
  <cols>
    <col min="1" max="7" width="20.83203125" style="7" customWidth="1"/>
    <col min="8" max="16384" width="8.83203125" style="7"/>
  </cols>
  <sheetData>
    <row r="1" spans="1:7" x14ac:dyDescent="0.15">
      <c r="A1" s="10" t="s">
        <v>18</v>
      </c>
      <c r="B1" s="10" t="s">
        <v>17</v>
      </c>
      <c r="C1" s="10" t="s">
        <v>16</v>
      </c>
      <c r="D1" s="10" t="s">
        <v>15</v>
      </c>
      <c r="E1" s="10" t="s">
        <v>14</v>
      </c>
      <c r="F1" s="10" t="s">
        <v>13</v>
      </c>
      <c r="G1" s="10" t="s">
        <v>12</v>
      </c>
    </row>
    <row r="2" spans="1:7" s="41" customFormat="1" ht="91" customHeight="1" x14ac:dyDescent="0.2">
      <c r="A2" s="39"/>
      <c r="D2" s="40" t="s">
        <v>143</v>
      </c>
      <c r="E2" s="39" t="s">
        <v>144</v>
      </c>
      <c r="F2" s="39" t="s">
        <v>117</v>
      </c>
      <c r="G2" s="39" t="s">
        <v>19</v>
      </c>
    </row>
    <row r="3" spans="1:7" s="41" customFormat="1" ht="42" x14ac:dyDescent="0.15">
      <c r="A3" s="39" t="s">
        <v>11</v>
      </c>
      <c r="B3" s="39" t="s">
        <v>10</v>
      </c>
      <c r="C3" s="9" t="s">
        <v>9</v>
      </c>
      <c r="D3" s="9" t="s">
        <v>72</v>
      </c>
      <c r="E3" s="39"/>
      <c r="F3" s="39"/>
      <c r="G3" s="39"/>
    </row>
    <row r="4" spans="1:7" ht="94" customHeight="1" x14ac:dyDescent="0.15">
      <c r="A4" s="9"/>
      <c r="B4" s="9"/>
      <c r="C4" s="9"/>
      <c r="D4" s="9"/>
      <c r="E4" s="9"/>
      <c r="F4" s="9"/>
      <c r="G4" s="9"/>
    </row>
    <row r="6" spans="1:7" ht="56" x14ac:dyDescent="0.15">
      <c r="A6" s="8" t="s">
        <v>8</v>
      </c>
    </row>
  </sheetData>
  <pageMargins left="0.25" right="0.25" top="0.75" bottom="0.75" header="0.3" footer="0.3"/>
  <pageSetup scale="86"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AD62F-7C53-C243-8EC4-CA672EC2421B}">
  <sheetPr>
    <pageSetUpPr fitToPage="1"/>
  </sheetPr>
  <dimension ref="A1:M16"/>
  <sheetViews>
    <sheetView workbookViewId="0">
      <selection activeCell="H16" sqref="H16"/>
    </sheetView>
  </sheetViews>
  <sheetFormatPr baseColWidth="10" defaultRowHeight="16" x14ac:dyDescent="0.2"/>
  <sheetData>
    <row r="1" spans="1:13" x14ac:dyDescent="0.2">
      <c r="A1" t="s">
        <v>20</v>
      </c>
    </row>
    <row r="2" spans="1:13" x14ac:dyDescent="0.2">
      <c r="A2" s="2" t="s">
        <v>2</v>
      </c>
      <c r="B2" s="2" t="s">
        <v>21</v>
      </c>
      <c r="C2" s="2" t="s">
        <v>22</v>
      </c>
      <c r="D2" s="2" t="s">
        <v>1</v>
      </c>
      <c r="E2" s="2" t="s">
        <v>0</v>
      </c>
      <c r="F2" s="2" t="s">
        <v>28</v>
      </c>
      <c r="G2" s="190" t="s">
        <v>23</v>
      </c>
      <c r="H2" s="190"/>
      <c r="I2" s="190"/>
      <c r="J2" s="190"/>
      <c r="K2" s="190"/>
      <c r="L2" s="2" t="s">
        <v>24</v>
      </c>
      <c r="M2" s="22" t="s">
        <v>25</v>
      </c>
    </row>
    <row r="3" spans="1:13" x14ac:dyDescent="0.2">
      <c r="A3" s="42">
        <v>43560</v>
      </c>
      <c r="B3" s="17" t="s">
        <v>73</v>
      </c>
      <c r="C3" s="1">
        <v>2</v>
      </c>
      <c r="D3" s="51">
        <v>43553</v>
      </c>
      <c r="E3" s="50" t="s">
        <v>208</v>
      </c>
      <c r="F3" s="12"/>
      <c r="G3" s="17"/>
      <c r="H3" s="17"/>
      <c r="I3" s="17"/>
      <c r="J3" s="17"/>
      <c r="K3" s="17"/>
      <c r="L3" s="17" t="s">
        <v>80</v>
      </c>
      <c r="M3" s="17"/>
    </row>
    <row r="4" spans="1:13" x14ac:dyDescent="0.2">
      <c r="A4" s="42">
        <v>43560</v>
      </c>
      <c r="B4" s="17" t="s">
        <v>73</v>
      </c>
      <c r="C4" s="1">
        <v>2</v>
      </c>
      <c r="D4" s="51">
        <v>43553</v>
      </c>
      <c r="E4" s="50" t="s">
        <v>208</v>
      </c>
      <c r="F4" s="12"/>
      <c r="G4" s="17"/>
      <c r="H4" s="17"/>
      <c r="I4" s="17"/>
      <c r="J4" s="17"/>
      <c r="K4" s="17"/>
      <c r="L4" s="17" t="s">
        <v>80</v>
      </c>
      <c r="M4" s="17"/>
    </row>
    <row r="5" spans="1:13" x14ac:dyDescent="0.2">
      <c r="A5" s="42">
        <v>43574</v>
      </c>
      <c r="B5" s="17" t="s">
        <v>73</v>
      </c>
      <c r="C5" s="1">
        <v>2</v>
      </c>
      <c r="D5" s="51">
        <v>43557</v>
      </c>
      <c r="E5" s="50" t="s">
        <v>183</v>
      </c>
      <c r="F5" s="12"/>
      <c r="G5" s="17"/>
      <c r="H5" s="17"/>
      <c r="I5" s="17"/>
      <c r="J5" s="17"/>
      <c r="K5" s="17"/>
      <c r="L5" s="17" t="s">
        <v>80</v>
      </c>
      <c r="M5" s="17"/>
    </row>
    <row r="6" spans="1:13" x14ac:dyDescent="0.2">
      <c r="A6" s="42">
        <v>43574</v>
      </c>
      <c r="B6" s="17" t="s">
        <v>73</v>
      </c>
      <c r="C6" s="1">
        <v>2</v>
      </c>
      <c r="D6" s="51">
        <v>43557</v>
      </c>
      <c r="E6" s="50" t="s">
        <v>183</v>
      </c>
      <c r="F6" s="12"/>
      <c r="G6" s="17"/>
      <c r="H6" s="17"/>
      <c r="I6" s="17"/>
      <c r="J6" s="17"/>
      <c r="K6" s="17"/>
      <c r="L6" s="17" t="s">
        <v>80</v>
      </c>
      <c r="M6" s="17"/>
    </row>
    <row r="7" spans="1:13" x14ac:dyDescent="0.2">
      <c r="A7" s="42">
        <v>43560</v>
      </c>
      <c r="B7" s="17" t="s">
        <v>73</v>
      </c>
      <c r="C7" s="1">
        <v>1</v>
      </c>
      <c r="D7" s="51">
        <v>43553</v>
      </c>
      <c r="E7" s="50" t="s">
        <v>208</v>
      </c>
      <c r="F7" s="12"/>
      <c r="G7" s="17"/>
      <c r="H7" s="17"/>
      <c r="I7" s="17"/>
      <c r="J7" s="17"/>
      <c r="K7" s="17"/>
      <c r="L7" s="17">
        <v>0</v>
      </c>
      <c r="M7" s="17"/>
    </row>
    <row r="8" spans="1:13" x14ac:dyDescent="0.2">
      <c r="A8" s="42">
        <v>43574</v>
      </c>
      <c r="B8" s="17" t="s">
        <v>73</v>
      </c>
      <c r="C8" s="1">
        <v>1</v>
      </c>
      <c r="D8" s="51">
        <v>43557</v>
      </c>
      <c r="E8" s="50" t="s">
        <v>183</v>
      </c>
      <c r="F8" s="12"/>
      <c r="G8" s="17"/>
      <c r="H8" s="17"/>
      <c r="I8" s="17"/>
      <c r="J8" s="17"/>
      <c r="K8" s="17"/>
      <c r="L8" s="17">
        <v>0</v>
      </c>
      <c r="M8" s="17"/>
    </row>
    <row r="9" spans="1:13" x14ac:dyDescent="0.2">
      <c r="A9" s="11" t="s">
        <v>26</v>
      </c>
    </row>
    <row r="11" spans="1:13" x14ac:dyDescent="0.2">
      <c r="E11" t="s">
        <v>4</v>
      </c>
      <c r="F11" s="2" t="s">
        <v>204</v>
      </c>
      <c r="G11" t="s">
        <v>6</v>
      </c>
      <c r="H11" t="s">
        <v>29</v>
      </c>
    </row>
    <row r="12" spans="1:13" x14ac:dyDescent="0.2">
      <c r="F12" t="s">
        <v>69</v>
      </c>
      <c r="G12" s="14" t="s">
        <v>70</v>
      </c>
      <c r="H12" s="14" t="s">
        <v>209</v>
      </c>
    </row>
    <row r="13" spans="1:13" x14ac:dyDescent="0.2">
      <c r="F13" t="s">
        <v>107</v>
      </c>
      <c r="G13" s="14" t="s">
        <v>129</v>
      </c>
      <c r="H13" s="14" t="s">
        <v>210</v>
      </c>
    </row>
    <row r="14" spans="1:13" x14ac:dyDescent="0.2">
      <c r="F14" t="s">
        <v>71</v>
      </c>
      <c r="G14" s="14" t="s">
        <v>74</v>
      </c>
      <c r="H14" s="14" t="s">
        <v>211</v>
      </c>
    </row>
    <row r="15" spans="1:13" x14ac:dyDescent="0.2">
      <c r="F15" t="s">
        <v>108</v>
      </c>
      <c r="G15" s="14" t="s">
        <v>130</v>
      </c>
      <c r="H15" s="14" t="s">
        <v>212</v>
      </c>
    </row>
    <row r="16" spans="1:13" x14ac:dyDescent="0.2">
      <c r="F16" s="15" t="s">
        <v>205</v>
      </c>
      <c r="G16" s="14" t="s">
        <v>203</v>
      </c>
      <c r="H16" s="14" t="s">
        <v>194</v>
      </c>
    </row>
  </sheetData>
  <mergeCells count="1">
    <mergeCell ref="G2:K2"/>
  </mergeCells>
  <pageMargins left="0.25" right="0.25" top="0.75" bottom="0.75" header="0.3" footer="0.3"/>
  <pageSetup scale="8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15C7-D903-CC47-895D-2313346F9812}">
  <sheetPr>
    <pageSetUpPr fitToPage="1"/>
  </sheetPr>
  <dimension ref="A1:O28"/>
  <sheetViews>
    <sheetView workbookViewId="0">
      <selection activeCell="O17" sqref="O17"/>
    </sheetView>
  </sheetViews>
  <sheetFormatPr baseColWidth="10" defaultRowHeight="16" x14ac:dyDescent="0.2"/>
  <cols>
    <col min="6" max="6" width="9.33203125" customWidth="1"/>
    <col min="7" max="7" width="14.1640625" bestFit="1" customWidth="1"/>
    <col min="13" max="13" width="16.83203125" bestFit="1" customWidth="1"/>
    <col min="14" max="14" width="16.83203125" customWidth="1"/>
  </cols>
  <sheetData>
    <row r="1" spans="1:15" x14ac:dyDescent="0.2">
      <c r="A1" s="16" t="s">
        <v>30</v>
      </c>
      <c r="B1" s="16" t="s">
        <v>104</v>
      </c>
      <c r="C1" s="16" t="s">
        <v>0</v>
      </c>
      <c r="D1" s="16" t="s">
        <v>31</v>
      </c>
      <c r="E1" s="16" t="s">
        <v>24</v>
      </c>
      <c r="F1" s="16" t="s">
        <v>21</v>
      </c>
      <c r="G1" s="16" t="s">
        <v>1</v>
      </c>
      <c r="H1" s="16" t="s">
        <v>32</v>
      </c>
      <c r="I1" s="16" t="s">
        <v>33</v>
      </c>
      <c r="J1" s="16" t="s">
        <v>34</v>
      </c>
      <c r="K1" s="16" t="s">
        <v>35</v>
      </c>
      <c r="L1" s="16" t="s">
        <v>36</v>
      </c>
      <c r="M1" s="16" t="s">
        <v>37</v>
      </c>
      <c r="N1" s="16" t="s">
        <v>38</v>
      </c>
      <c r="O1" s="16" t="s">
        <v>78</v>
      </c>
    </row>
    <row r="2" spans="1:15" x14ac:dyDescent="0.2">
      <c r="A2" s="23" t="s">
        <v>70</v>
      </c>
      <c r="B2" s="23">
        <v>4</v>
      </c>
      <c r="C2" s="17">
        <v>1</v>
      </c>
      <c r="D2" s="17">
        <v>1</v>
      </c>
      <c r="E2" s="17" t="s">
        <v>39</v>
      </c>
      <c r="F2" s="17" t="s">
        <v>73</v>
      </c>
      <c r="G2" s="21">
        <v>43557</v>
      </c>
      <c r="H2" s="1"/>
      <c r="I2" s="18" t="s">
        <v>209</v>
      </c>
      <c r="J2" s="19">
        <v>43621</v>
      </c>
      <c r="K2" s="20">
        <f t="shared" ref="K2:K9" si="0">(DATEDIF(G2, J2,"D")/7)</f>
        <v>9.1428571428571423</v>
      </c>
      <c r="L2" s="19">
        <v>43628</v>
      </c>
      <c r="M2" s="20">
        <f t="shared" ref="M2:M9" si="1">(DATEDIF(G2, L2,"D")/7)</f>
        <v>10.142857142857142</v>
      </c>
      <c r="N2" s="17">
        <f t="shared" ref="N2:N9" si="2">L2-J2</f>
        <v>7</v>
      </c>
      <c r="O2" s="17" t="s">
        <v>174</v>
      </c>
    </row>
    <row r="3" spans="1:15" x14ac:dyDescent="0.2">
      <c r="A3" s="17" t="s">
        <v>70</v>
      </c>
      <c r="B3" s="17">
        <v>4</v>
      </c>
      <c r="C3" s="17">
        <v>1</v>
      </c>
      <c r="D3" s="17">
        <v>2</v>
      </c>
      <c r="E3" s="17" t="s">
        <v>79</v>
      </c>
      <c r="F3" s="17" t="s">
        <v>73</v>
      </c>
      <c r="G3" s="21">
        <v>43557</v>
      </c>
      <c r="H3" s="1"/>
      <c r="I3" s="18" t="s">
        <v>209</v>
      </c>
      <c r="J3" s="19">
        <v>43621</v>
      </c>
      <c r="K3" s="20">
        <f t="shared" si="0"/>
        <v>9.1428571428571423</v>
      </c>
      <c r="L3" s="19">
        <v>43628</v>
      </c>
      <c r="M3" s="20">
        <f t="shared" si="1"/>
        <v>10.142857142857142</v>
      </c>
      <c r="N3" s="17">
        <f t="shared" si="2"/>
        <v>7</v>
      </c>
      <c r="O3" s="17" t="s">
        <v>175</v>
      </c>
    </row>
    <row r="4" spans="1:15" x14ac:dyDescent="0.2">
      <c r="A4" s="25" t="s">
        <v>75</v>
      </c>
      <c r="B4" s="25">
        <v>4</v>
      </c>
      <c r="C4" s="25">
        <v>2</v>
      </c>
      <c r="D4" s="25">
        <v>1</v>
      </c>
      <c r="E4" s="25" t="s">
        <v>39</v>
      </c>
      <c r="F4" s="25" t="s">
        <v>73</v>
      </c>
      <c r="G4" s="64">
        <v>43557</v>
      </c>
      <c r="H4" s="65"/>
      <c r="I4" s="66" t="s">
        <v>210</v>
      </c>
      <c r="J4" s="67">
        <v>43621</v>
      </c>
      <c r="K4" s="68">
        <f t="shared" si="0"/>
        <v>9.1428571428571423</v>
      </c>
      <c r="L4" s="67">
        <v>43628</v>
      </c>
      <c r="M4" s="68">
        <f t="shared" si="1"/>
        <v>10.142857142857142</v>
      </c>
      <c r="N4" s="25">
        <f t="shared" si="2"/>
        <v>7</v>
      </c>
      <c r="O4" s="25" t="s">
        <v>176</v>
      </c>
    </row>
    <row r="5" spans="1:15" x14ac:dyDescent="0.2">
      <c r="A5" s="25" t="s">
        <v>75</v>
      </c>
      <c r="B5" s="25">
        <v>4</v>
      </c>
      <c r="C5" s="25">
        <v>2</v>
      </c>
      <c r="D5" s="25">
        <v>2</v>
      </c>
      <c r="E5" s="25" t="s">
        <v>79</v>
      </c>
      <c r="F5" s="25" t="s">
        <v>73</v>
      </c>
      <c r="G5" s="64">
        <v>43557</v>
      </c>
      <c r="H5" s="65"/>
      <c r="I5" s="66" t="s">
        <v>210</v>
      </c>
      <c r="J5" s="67">
        <v>43621</v>
      </c>
      <c r="K5" s="68">
        <f t="shared" si="0"/>
        <v>9.1428571428571423</v>
      </c>
      <c r="L5" s="67">
        <v>43628</v>
      </c>
      <c r="M5" s="68">
        <f t="shared" si="1"/>
        <v>10.142857142857142</v>
      </c>
      <c r="N5" s="25">
        <f t="shared" si="2"/>
        <v>7</v>
      </c>
      <c r="O5" s="25" t="s">
        <v>177</v>
      </c>
    </row>
    <row r="6" spans="1:15" x14ac:dyDescent="0.2">
      <c r="A6" s="23" t="s">
        <v>76</v>
      </c>
      <c r="B6" s="23">
        <v>4</v>
      </c>
      <c r="C6" s="23">
        <v>3</v>
      </c>
      <c r="D6" s="17">
        <v>1</v>
      </c>
      <c r="E6" s="17" t="s">
        <v>39</v>
      </c>
      <c r="F6" s="17" t="s">
        <v>73</v>
      </c>
      <c r="G6" s="21">
        <v>43553</v>
      </c>
      <c r="H6" s="1"/>
      <c r="I6" s="12" t="s">
        <v>211</v>
      </c>
      <c r="J6" s="19">
        <v>43621</v>
      </c>
      <c r="K6" s="20">
        <f t="shared" si="0"/>
        <v>9.7142857142857135</v>
      </c>
      <c r="L6" s="19">
        <v>43628</v>
      </c>
      <c r="M6" s="20">
        <f t="shared" si="1"/>
        <v>10.714285714285714</v>
      </c>
      <c r="N6" s="17">
        <f t="shared" si="2"/>
        <v>7</v>
      </c>
      <c r="O6" s="23" t="s">
        <v>178</v>
      </c>
    </row>
    <row r="7" spans="1:15" x14ac:dyDescent="0.2">
      <c r="A7" s="23" t="s">
        <v>76</v>
      </c>
      <c r="B7" s="23">
        <v>4</v>
      </c>
      <c r="C7" s="23">
        <v>3</v>
      </c>
      <c r="D7" s="17">
        <v>2</v>
      </c>
      <c r="E7" s="17" t="s">
        <v>79</v>
      </c>
      <c r="F7" s="17" t="s">
        <v>73</v>
      </c>
      <c r="G7" s="21">
        <v>43553</v>
      </c>
      <c r="H7" s="1"/>
      <c r="I7" s="12" t="s">
        <v>211</v>
      </c>
      <c r="J7" s="19">
        <v>43621</v>
      </c>
      <c r="K7" s="20">
        <f t="shared" si="0"/>
        <v>9.7142857142857135</v>
      </c>
      <c r="L7" s="19">
        <v>43628</v>
      </c>
      <c r="M7" s="20">
        <f t="shared" si="1"/>
        <v>10.714285714285714</v>
      </c>
      <c r="N7" s="17">
        <f t="shared" si="2"/>
        <v>7</v>
      </c>
      <c r="O7" s="23" t="s">
        <v>179</v>
      </c>
    </row>
    <row r="8" spans="1:15" x14ac:dyDescent="0.2">
      <c r="A8" s="25" t="s">
        <v>77</v>
      </c>
      <c r="B8" s="25">
        <v>4</v>
      </c>
      <c r="C8" s="25">
        <v>4</v>
      </c>
      <c r="D8" s="25">
        <v>1</v>
      </c>
      <c r="E8" s="25" t="s">
        <v>39</v>
      </c>
      <c r="F8" s="25" t="s">
        <v>73</v>
      </c>
      <c r="G8" s="64">
        <v>43553</v>
      </c>
      <c r="H8" s="65"/>
      <c r="I8" s="66" t="s">
        <v>212</v>
      </c>
      <c r="J8" s="67">
        <v>43621</v>
      </c>
      <c r="K8" s="68">
        <f t="shared" si="0"/>
        <v>9.7142857142857135</v>
      </c>
      <c r="L8" s="67">
        <v>43628</v>
      </c>
      <c r="M8" s="68">
        <f t="shared" si="1"/>
        <v>10.714285714285714</v>
      </c>
      <c r="N8" s="25">
        <f t="shared" si="2"/>
        <v>7</v>
      </c>
      <c r="O8" s="25" t="s">
        <v>180</v>
      </c>
    </row>
    <row r="9" spans="1:15" x14ac:dyDescent="0.2">
      <c r="A9" s="25" t="s">
        <v>77</v>
      </c>
      <c r="B9" s="25">
        <v>4</v>
      </c>
      <c r="C9" s="25">
        <v>4</v>
      </c>
      <c r="D9" s="25">
        <v>2</v>
      </c>
      <c r="E9" s="25" t="s">
        <v>79</v>
      </c>
      <c r="F9" s="25" t="s">
        <v>73</v>
      </c>
      <c r="G9" s="64">
        <v>43553</v>
      </c>
      <c r="H9" s="65"/>
      <c r="I9" s="66" t="s">
        <v>212</v>
      </c>
      <c r="J9" s="67">
        <v>43621</v>
      </c>
      <c r="K9" s="68">
        <f t="shared" si="0"/>
        <v>9.7142857142857135</v>
      </c>
      <c r="L9" s="67">
        <v>43628</v>
      </c>
      <c r="M9" s="68">
        <f t="shared" si="1"/>
        <v>10.714285714285714</v>
      </c>
      <c r="N9" s="25">
        <f t="shared" si="2"/>
        <v>7</v>
      </c>
      <c r="O9" s="25" t="s">
        <v>181</v>
      </c>
    </row>
    <row r="10" spans="1:15" x14ac:dyDescent="0.2">
      <c r="A10" s="25" t="s">
        <v>194</v>
      </c>
      <c r="B10" s="25">
        <v>4</v>
      </c>
      <c r="C10" s="25">
        <v>5</v>
      </c>
      <c r="D10" s="25">
        <v>1</v>
      </c>
      <c r="E10" s="25" t="s">
        <v>39</v>
      </c>
      <c r="F10" s="25" t="s">
        <v>73</v>
      </c>
      <c r="G10" s="64">
        <v>43557</v>
      </c>
      <c r="H10" s="65"/>
      <c r="I10" s="66" t="s">
        <v>201</v>
      </c>
      <c r="J10" s="67">
        <v>43621</v>
      </c>
      <c r="K10" s="68">
        <f t="shared" ref="K10:K11" si="3">(DATEDIF(G10, J10,"D")/7)</f>
        <v>9.1428571428571423</v>
      </c>
      <c r="L10" s="67">
        <v>43628</v>
      </c>
      <c r="M10" s="68">
        <f t="shared" ref="M10:M11" si="4">(DATEDIF(G10, L10,"D")/7)</f>
        <v>10.142857142857142</v>
      </c>
      <c r="N10" s="25">
        <f t="shared" ref="N10:N11" si="5">L10-J10</f>
        <v>7</v>
      </c>
      <c r="O10" s="25" t="s">
        <v>192</v>
      </c>
    </row>
    <row r="11" spans="1:15" x14ac:dyDescent="0.2">
      <c r="A11" s="25" t="s">
        <v>194</v>
      </c>
      <c r="B11" s="25">
        <v>4</v>
      </c>
      <c r="C11" s="25">
        <v>6</v>
      </c>
      <c r="D11" s="25">
        <v>1</v>
      </c>
      <c r="E11" s="25" t="s">
        <v>39</v>
      </c>
      <c r="F11" s="25" t="s">
        <v>73</v>
      </c>
      <c r="G11" s="64">
        <v>43553</v>
      </c>
      <c r="H11" s="65"/>
      <c r="I11" s="66" t="s">
        <v>202</v>
      </c>
      <c r="J11" s="67">
        <v>43621</v>
      </c>
      <c r="K11" s="68">
        <f t="shared" si="3"/>
        <v>9.7142857142857135</v>
      </c>
      <c r="L11" s="67">
        <v>43628</v>
      </c>
      <c r="M11" s="68">
        <f t="shared" si="4"/>
        <v>10.714285714285714</v>
      </c>
      <c r="N11" s="25">
        <f t="shared" si="5"/>
        <v>7</v>
      </c>
      <c r="O11" s="25" t="s">
        <v>193</v>
      </c>
    </row>
    <row r="12" spans="1:15" x14ac:dyDescent="0.2">
      <c r="A12" s="34" t="s">
        <v>182</v>
      </c>
      <c r="B12" s="42">
        <v>43553</v>
      </c>
      <c r="C12" s="42">
        <v>43574</v>
      </c>
      <c r="D12" s="34" t="s">
        <v>105</v>
      </c>
      <c r="E12" s="34" t="s">
        <v>106</v>
      </c>
      <c r="F12" s="34">
        <v>5</v>
      </c>
      <c r="G12" s="34"/>
      <c r="H12" s="34">
        <v>9.7142857140000007</v>
      </c>
    </row>
    <row r="13" spans="1:15" x14ac:dyDescent="0.2">
      <c r="A13" s="34" t="s">
        <v>183</v>
      </c>
      <c r="B13" s="42">
        <v>43557</v>
      </c>
      <c r="C13" s="42">
        <v>43579</v>
      </c>
      <c r="D13" s="34" t="s">
        <v>105</v>
      </c>
      <c r="E13" s="34" t="s">
        <v>106</v>
      </c>
      <c r="F13" s="34">
        <v>5</v>
      </c>
      <c r="G13" s="34"/>
      <c r="H13" s="34">
        <v>9.1428571430000005</v>
      </c>
      <c r="I13" s="24"/>
      <c r="J13" s="24"/>
      <c r="K13" s="24"/>
      <c r="L13" s="24"/>
      <c r="M13" s="24"/>
      <c r="N13" s="24"/>
      <c r="O13" s="24"/>
    </row>
    <row r="14" spans="1:15" x14ac:dyDescent="0.2">
      <c r="A14" s="62"/>
      <c r="B14" s="63"/>
      <c r="C14" s="42"/>
      <c r="D14" s="34"/>
      <c r="E14" s="34"/>
      <c r="F14" s="34"/>
      <c r="G14" s="34"/>
      <c r="H14" s="34"/>
      <c r="I14" s="24"/>
      <c r="J14" s="24"/>
      <c r="K14" s="24"/>
      <c r="L14" s="24"/>
      <c r="M14" s="24"/>
      <c r="N14" s="24"/>
      <c r="O14" s="24"/>
    </row>
    <row r="15" spans="1:15" x14ac:dyDescent="0.2">
      <c r="A15" s="24"/>
      <c r="B15" s="24"/>
      <c r="C15" s="24"/>
      <c r="D15" s="24"/>
      <c r="E15" s="24"/>
      <c r="F15" s="53"/>
      <c r="G15" s="52"/>
      <c r="H15" s="24"/>
      <c r="I15" s="24"/>
    </row>
    <row r="16" spans="1:15" x14ac:dyDescent="0.2">
      <c r="A16" s="24"/>
      <c r="B16" s="24"/>
      <c r="C16" s="24"/>
      <c r="D16" s="24"/>
      <c r="E16" s="24"/>
      <c r="F16" s="53"/>
      <c r="G16" s="52"/>
      <c r="H16" s="24"/>
      <c r="I16" s="24"/>
    </row>
    <row r="17" spans="1:9" x14ac:dyDescent="0.2">
      <c r="A17" s="24"/>
      <c r="B17" s="24"/>
      <c r="C17" s="24"/>
      <c r="D17" s="24"/>
      <c r="E17" s="24"/>
      <c r="F17" s="53"/>
      <c r="G17" s="52"/>
      <c r="H17" s="24"/>
      <c r="I17" s="24"/>
    </row>
    <row r="18" spans="1:9" x14ac:dyDescent="0.2">
      <c r="A18" s="24"/>
      <c r="B18" s="24"/>
      <c r="C18" s="24"/>
      <c r="D18" s="24"/>
      <c r="E18" s="24"/>
      <c r="F18" s="52"/>
      <c r="G18" s="52"/>
      <c r="H18" s="24"/>
      <c r="I18" s="24"/>
    </row>
    <row r="19" spans="1:9" x14ac:dyDescent="0.2">
      <c r="A19" s="24"/>
      <c r="B19" s="24"/>
      <c r="C19" s="24"/>
      <c r="D19" s="24"/>
      <c r="E19" s="24"/>
      <c r="F19" s="24"/>
      <c r="G19" s="24"/>
      <c r="H19" s="24"/>
      <c r="I19" s="24"/>
    </row>
    <row r="20" spans="1:9" x14ac:dyDescent="0.2">
      <c r="A20" s="24"/>
      <c r="B20" s="24"/>
      <c r="C20" s="24"/>
      <c r="D20" s="24"/>
      <c r="E20" s="24"/>
      <c r="F20" s="24"/>
      <c r="G20" s="24"/>
      <c r="H20" s="24"/>
      <c r="I20" s="24"/>
    </row>
    <row r="21" spans="1:9" x14ac:dyDescent="0.2">
      <c r="A21" s="24"/>
      <c r="B21" s="24"/>
      <c r="C21" s="24"/>
      <c r="D21" s="24"/>
      <c r="E21" s="24"/>
      <c r="F21" s="24"/>
      <c r="G21" s="24"/>
      <c r="H21" s="24"/>
      <c r="I21" s="24"/>
    </row>
    <row r="22" spans="1:9" x14ac:dyDescent="0.2">
      <c r="A22" s="24"/>
      <c r="B22" s="24"/>
      <c r="C22" s="24"/>
      <c r="D22" s="24"/>
      <c r="E22" s="24"/>
      <c r="F22" s="24"/>
      <c r="G22" s="24"/>
      <c r="H22" s="24"/>
      <c r="I22" s="24"/>
    </row>
    <row r="23" spans="1:9" x14ac:dyDescent="0.2">
      <c r="A23" s="24"/>
      <c r="B23" s="24"/>
      <c r="C23" s="24"/>
      <c r="D23" s="24"/>
      <c r="E23" s="24"/>
      <c r="F23" s="24"/>
      <c r="G23" s="24"/>
      <c r="H23" s="24"/>
      <c r="I23" s="24"/>
    </row>
    <row r="24" spans="1:9" x14ac:dyDescent="0.2">
      <c r="A24" s="24"/>
      <c r="B24" s="24"/>
      <c r="C24" s="24"/>
      <c r="D24" s="24"/>
      <c r="E24" s="24"/>
      <c r="F24" s="24"/>
      <c r="G24" s="24"/>
      <c r="H24" s="24"/>
      <c r="I24" s="24"/>
    </row>
    <row r="25" spans="1:9" x14ac:dyDescent="0.2">
      <c r="A25" s="24"/>
      <c r="B25" s="24"/>
      <c r="C25" s="24"/>
      <c r="D25" s="24"/>
      <c r="E25" s="24"/>
      <c r="F25" s="24"/>
      <c r="G25" s="24"/>
      <c r="H25" s="24"/>
      <c r="I25" s="24"/>
    </row>
    <row r="26" spans="1:9" x14ac:dyDescent="0.2">
      <c r="A26" s="24"/>
      <c r="B26" s="24"/>
      <c r="C26" s="24"/>
      <c r="D26" s="24"/>
      <c r="E26" s="24"/>
      <c r="F26" s="24"/>
      <c r="G26" s="24"/>
      <c r="H26" s="24"/>
      <c r="I26" s="24"/>
    </row>
    <row r="27" spans="1:9" x14ac:dyDescent="0.2">
      <c r="A27" s="24"/>
      <c r="B27" s="24"/>
      <c r="C27" s="24"/>
      <c r="D27" s="24"/>
      <c r="E27" s="24"/>
      <c r="F27" s="24"/>
      <c r="G27" s="24"/>
      <c r="H27" s="24"/>
      <c r="I27" s="24"/>
    </row>
    <row r="28" spans="1:9" x14ac:dyDescent="0.2">
      <c r="A28" s="24"/>
      <c r="B28" s="24"/>
      <c r="C28" s="24"/>
      <c r="D28" s="24"/>
      <c r="E28" s="24"/>
      <c r="F28" s="24"/>
      <c r="G28" s="24"/>
      <c r="H28" s="24"/>
      <c r="I28" s="24"/>
    </row>
  </sheetData>
  <pageMargins left="0.7" right="0.7" top="0.75" bottom="0.75" header="0.3" footer="0.3"/>
  <pageSetup scale="65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146F9-7B2B-9541-A55F-7BF2B2559EBD}">
  <sheetPr>
    <pageSetUpPr fitToPage="1"/>
  </sheetPr>
  <dimension ref="A1:T13"/>
  <sheetViews>
    <sheetView workbookViewId="0">
      <selection activeCell="E17" sqref="E17"/>
    </sheetView>
  </sheetViews>
  <sheetFormatPr baseColWidth="10" defaultRowHeight="16" x14ac:dyDescent="0.2"/>
  <cols>
    <col min="1" max="1" width="9.1640625" style="24" bestFit="1" customWidth="1"/>
    <col min="2" max="2" width="9.1640625" style="24" customWidth="1"/>
    <col min="3" max="3" width="9" style="24" bestFit="1" customWidth="1"/>
    <col min="4" max="4" width="8.6640625" style="24" bestFit="1" customWidth="1"/>
    <col min="5" max="5" width="10.83203125" style="24" customWidth="1"/>
    <col min="6" max="16384" width="10.83203125" style="24"/>
  </cols>
  <sheetData>
    <row r="1" spans="1:20" customFormat="1" x14ac:dyDescent="0.2">
      <c r="A1" s="16" t="s">
        <v>81</v>
      </c>
      <c r="B1" s="16" t="s">
        <v>104</v>
      </c>
      <c r="C1" s="16" t="s">
        <v>31</v>
      </c>
      <c r="D1" s="16" t="s">
        <v>24</v>
      </c>
      <c r="E1" s="16" t="s">
        <v>82</v>
      </c>
      <c r="F1" s="16" t="s">
        <v>44</v>
      </c>
      <c r="G1" s="16" t="s">
        <v>43</v>
      </c>
      <c r="H1" s="16" t="s">
        <v>42</v>
      </c>
      <c r="I1" s="16" t="s">
        <v>41</v>
      </c>
      <c r="J1" s="16" t="s">
        <v>45</v>
      </c>
      <c r="K1" s="16" t="s">
        <v>46</v>
      </c>
      <c r="L1" s="16" t="s">
        <v>47</v>
      </c>
      <c r="M1" s="16" t="s">
        <v>83</v>
      </c>
      <c r="N1" s="16" t="s">
        <v>84</v>
      </c>
      <c r="O1" s="16" t="s">
        <v>85</v>
      </c>
      <c r="P1" s="16" t="s">
        <v>86</v>
      </c>
      <c r="Q1" s="16" t="s">
        <v>87</v>
      </c>
      <c r="R1" s="46"/>
      <c r="S1" s="46"/>
      <c r="T1" s="46"/>
    </row>
    <row r="2" spans="1:20" customFormat="1" x14ac:dyDescent="0.2">
      <c r="A2" s="23" t="s">
        <v>70</v>
      </c>
      <c r="B2" s="23">
        <f>Inventory!B2</f>
        <v>4</v>
      </c>
      <c r="C2" s="17" t="str">
        <f>Inventory!O2</f>
        <v>nt_4_0</v>
      </c>
      <c r="D2" s="17" t="s">
        <v>39</v>
      </c>
      <c r="E2" s="13">
        <v>25.1</v>
      </c>
      <c r="F2" s="13">
        <v>24.1</v>
      </c>
      <c r="G2" s="13">
        <v>24.3</v>
      </c>
      <c r="H2" s="13">
        <v>24.7</v>
      </c>
      <c r="I2" s="13">
        <v>24.5</v>
      </c>
      <c r="J2" s="13">
        <v>24.8</v>
      </c>
      <c r="K2" s="13">
        <v>24.6</v>
      </c>
      <c r="L2" s="13">
        <v>24.6</v>
      </c>
      <c r="M2" s="13"/>
      <c r="N2" s="13"/>
      <c r="O2" s="13"/>
      <c r="P2" s="13"/>
      <c r="Q2" s="47"/>
      <c r="R2" s="46"/>
      <c r="S2" s="46"/>
      <c r="T2" s="46"/>
    </row>
    <row r="3" spans="1:20" customFormat="1" x14ac:dyDescent="0.2">
      <c r="A3" s="17" t="s">
        <v>70</v>
      </c>
      <c r="B3" s="23">
        <f>Inventory!B3</f>
        <v>4</v>
      </c>
      <c r="C3" s="17" t="str">
        <f>Inventory!O3</f>
        <v>nt_4_R</v>
      </c>
      <c r="D3" s="17" t="s">
        <v>40</v>
      </c>
      <c r="E3" s="13">
        <v>25.2</v>
      </c>
      <c r="F3" s="13">
        <v>24.5</v>
      </c>
      <c r="G3" s="13">
        <v>24.5</v>
      </c>
      <c r="H3" s="13">
        <v>24.7</v>
      </c>
      <c r="I3" s="13">
        <v>23.8</v>
      </c>
      <c r="J3" s="13">
        <v>24.9</v>
      </c>
      <c r="K3" s="13">
        <v>24.9</v>
      </c>
      <c r="L3" s="13">
        <v>24.9</v>
      </c>
      <c r="M3" s="13"/>
      <c r="N3" s="13"/>
      <c r="O3" s="13"/>
      <c r="P3" s="13"/>
      <c r="Q3" s="47"/>
      <c r="R3" s="46"/>
      <c r="S3" s="46"/>
      <c r="T3" s="46"/>
    </row>
    <row r="4" spans="1:20" customFormat="1" x14ac:dyDescent="0.2">
      <c r="A4" s="25" t="s">
        <v>27</v>
      </c>
      <c r="B4" s="23">
        <f>Inventory!B4</f>
        <v>4</v>
      </c>
      <c r="C4" s="17" t="str">
        <f>Inventory!O4</f>
        <v>f_4_0</v>
      </c>
      <c r="D4" s="25" t="s">
        <v>39</v>
      </c>
      <c r="E4" s="43">
        <v>23.3</v>
      </c>
      <c r="F4" s="43">
        <v>22.7</v>
      </c>
      <c r="G4" s="43">
        <v>22.2</v>
      </c>
      <c r="H4" s="43">
        <v>23.1</v>
      </c>
      <c r="I4" s="43">
        <v>22.6</v>
      </c>
      <c r="J4" s="43">
        <v>22.7</v>
      </c>
      <c r="K4" s="43">
        <v>22.4</v>
      </c>
      <c r="L4" s="43">
        <v>22.7</v>
      </c>
      <c r="M4" s="43"/>
      <c r="N4" s="43"/>
      <c r="O4" s="43"/>
      <c r="P4" s="43"/>
      <c r="Q4" s="48"/>
      <c r="R4" s="46"/>
      <c r="S4" s="46"/>
      <c r="T4" s="46"/>
    </row>
    <row r="5" spans="1:20" customFormat="1" x14ac:dyDescent="0.2">
      <c r="A5" s="25" t="s">
        <v>27</v>
      </c>
      <c r="B5" s="23">
        <f>Inventory!B5</f>
        <v>4</v>
      </c>
      <c r="C5" s="17" t="str">
        <f>Inventory!O5</f>
        <v>f_4_R</v>
      </c>
      <c r="D5" s="25" t="s">
        <v>40</v>
      </c>
      <c r="E5" s="43">
        <v>25.2</v>
      </c>
      <c r="F5" s="43">
        <v>24.9</v>
      </c>
      <c r="G5" s="43">
        <v>24.8</v>
      </c>
      <c r="H5" s="43">
        <v>25.4</v>
      </c>
      <c r="I5" s="43">
        <v>25.4</v>
      </c>
      <c r="J5" s="43">
        <v>25.8</v>
      </c>
      <c r="K5" s="43">
        <v>25.8</v>
      </c>
      <c r="L5" s="43">
        <v>25.5</v>
      </c>
      <c r="M5" s="43"/>
      <c r="N5" s="43"/>
      <c r="O5" s="43"/>
      <c r="P5" s="43"/>
      <c r="Q5" s="48"/>
      <c r="R5" s="46"/>
      <c r="S5" s="46"/>
      <c r="T5" s="46"/>
    </row>
    <row r="6" spans="1:20" customFormat="1" x14ac:dyDescent="0.2">
      <c r="A6" s="23" t="s">
        <v>73</v>
      </c>
      <c r="B6" s="23">
        <f>Inventory!B6</f>
        <v>4</v>
      </c>
      <c r="C6" s="17" t="str">
        <f>Inventory!O6</f>
        <v>m_4_0</v>
      </c>
      <c r="D6" s="23" t="s">
        <v>39</v>
      </c>
      <c r="E6" s="44">
        <v>25.1</v>
      </c>
      <c r="F6" s="44">
        <v>25.3</v>
      </c>
      <c r="G6" s="44">
        <v>25.2</v>
      </c>
      <c r="H6" s="44">
        <v>25.4</v>
      </c>
      <c r="I6" s="44">
        <v>24.8</v>
      </c>
      <c r="J6" s="44">
        <v>24.8</v>
      </c>
      <c r="K6" s="44">
        <v>24.9</v>
      </c>
      <c r="L6" s="44">
        <v>24.9</v>
      </c>
      <c r="M6" s="44"/>
      <c r="N6" s="44"/>
      <c r="O6" s="44"/>
      <c r="P6" s="44"/>
      <c r="Q6" s="49"/>
      <c r="R6" s="46"/>
      <c r="S6" s="46"/>
      <c r="T6" s="46"/>
    </row>
    <row r="7" spans="1:20" customFormat="1" x14ac:dyDescent="0.2">
      <c r="A7" s="23" t="s">
        <v>73</v>
      </c>
      <c r="B7" s="23">
        <f>Inventory!B7</f>
        <v>4</v>
      </c>
      <c r="C7" s="17" t="str">
        <f>Inventory!O7</f>
        <v>m_4_R</v>
      </c>
      <c r="D7" s="23" t="s">
        <v>40</v>
      </c>
      <c r="E7" s="44">
        <v>26.4</v>
      </c>
      <c r="F7" s="44">
        <v>26</v>
      </c>
      <c r="G7" s="44">
        <v>26.3</v>
      </c>
      <c r="H7" s="44">
        <v>26.7</v>
      </c>
      <c r="I7" s="44">
        <v>26.5</v>
      </c>
      <c r="J7" s="44">
        <v>26.4</v>
      </c>
      <c r="K7" s="44">
        <v>26.2</v>
      </c>
      <c r="L7" s="44">
        <v>26.1</v>
      </c>
      <c r="M7" s="44"/>
      <c r="N7" s="44"/>
      <c r="O7" s="44"/>
      <c r="P7" s="44"/>
      <c r="Q7" s="49"/>
      <c r="R7" s="46"/>
      <c r="S7" s="46"/>
      <c r="T7" s="46"/>
    </row>
    <row r="8" spans="1:20" customFormat="1" x14ac:dyDescent="0.2">
      <c r="A8" s="25" t="s">
        <v>7</v>
      </c>
      <c r="B8" s="23">
        <f>Inventory!B8</f>
        <v>4</v>
      </c>
      <c r="C8" s="17" t="str">
        <f>Inventory!O8</f>
        <v>l_4_0</v>
      </c>
      <c r="D8" s="25" t="s">
        <v>39</v>
      </c>
      <c r="E8" s="43">
        <v>27.5</v>
      </c>
      <c r="F8" s="43">
        <v>26.3</v>
      </c>
      <c r="G8" s="43">
        <v>27.3</v>
      </c>
      <c r="H8" s="43">
        <v>27</v>
      </c>
      <c r="I8" s="43">
        <v>28.2</v>
      </c>
      <c r="J8" s="43">
        <v>28</v>
      </c>
      <c r="K8" s="43">
        <v>27.9</v>
      </c>
      <c r="L8" s="43">
        <v>27.5</v>
      </c>
      <c r="M8" s="43"/>
      <c r="N8" s="43"/>
      <c r="O8" s="43"/>
      <c r="P8" s="43"/>
      <c r="Q8" s="48"/>
      <c r="R8" s="46"/>
      <c r="S8" s="46"/>
      <c r="T8" s="46"/>
    </row>
    <row r="9" spans="1:20" customFormat="1" x14ac:dyDescent="0.2">
      <c r="A9" s="25" t="s">
        <v>7</v>
      </c>
      <c r="B9" s="23">
        <f>Inventory!B9</f>
        <v>4</v>
      </c>
      <c r="C9" s="17" t="str">
        <f>Inventory!O9</f>
        <v>l_4_R</v>
      </c>
      <c r="D9" s="25" t="s">
        <v>40</v>
      </c>
      <c r="E9" s="43">
        <v>27</v>
      </c>
      <c r="F9" s="43">
        <v>26.4</v>
      </c>
      <c r="G9" s="43">
        <v>26.6</v>
      </c>
      <c r="H9" s="43">
        <v>24.5</v>
      </c>
      <c r="I9" s="43">
        <v>25.3</v>
      </c>
      <c r="J9" s="43">
        <v>26.5</v>
      </c>
      <c r="K9" s="43">
        <v>27.8</v>
      </c>
      <c r="L9" s="43">
        <v>27.3</v>
      </c>
      <c r="M9" s="43"/>
      <c r="N9" s="43"/>
      <c r="O9" s="43"/>
      <c r="P9" s="43"/>
      <c r="Q9" s="48"/>
      <c r="R9" s="46"/>
      <c r="S9" s="46"/>
      <c r="T9" s="46"/>
    </row>
    <row r="10" spans="1:20" x14ac:dyDescent="0.2">
      <c r="A10" s="23" t="s">
        <v>194</v>
      </c>
      <c r="B10" s="23">
        <f>B9</f>
        <v>4</v>
      </c>
      <c r="C10" s="17" t="str">
        <f>Inventory!O10</f>
        <v>ntod_4_1</v>
      </c>
      <c r="D10" s="23" t="s">
        <v>39</v>
      </c>
      <c r="E10" s="24" t="s">
        <v>195</v>
      </c>
      <c r="F10" s="187">
        <v>24.3</v>
      </c>
      <c r="G10" s="187">
        <v>23.3</v>
      </c>
      <c r="H10" s="187">
        <v>23</v>
      </c>
      <c r="I10" s="187">
        <v>22.6</v>
      </c>
      <c r="J10" s="187">
        <v>23.2</v>
      </c>
      <c r="K10" s="187">
        <v>23.8</v>
      </c>
      <c r="L10" s="187">
        <v>24.1</v>
      </c>
      <c r="R10" s="46"/>
      <c r="S10" s="46"/>
      <c r="T10" s="46"/>
    </row>
    <row r="11" spans="1:20" x14ac:dyDescent="0.2">
      <c r="A11" s="23" t="s">
        <v>194</v>
      </c>
      <c r="B11" s="23">
        <f>B9</f>
        <v>4</v>
      </c>
      <c r="C11" s="17" t="str">
        <f>Inventory!O11</f>
        <v>ntod_4_2</v>
      </c>
      <c r="D11" s="23" t="s">
        <v>39</v>
      </c>
      <c r="E11" s="45" t="s">
        <v>195</v>
      </c>
      <c r="F11" s="187">
        <v>24.1</v>
      </c>
      <c r="G11" s="187">
        <v>23.6</v>
      </c>
      <c r="H11" s="187">
        <v>23.8</v>
      </c>
      <c r="I11" s="187">
        <v>23.7</v>
      </c>
      <c r="J11" s="187">
        <v>22.5</v>
      </c>
      <c r="K11" s="187">
        <v>23.7</v>
      </c>
      <c r="L11" s="187">
        <v>23.9</v>
      </c>
    </row>
    <row r="12" spans="1:20" x14ac:dyDescent="0.2">
      <c r="A12" s="45"/>
      <c r="B12" s="45"/>
      <c r="C12" s="45"/>
      <c r="D12" s="45"/>
    </row>
    <row r="13" spans="1:20" x14ac:dyDescent="0.2">
      <c r="A13" s="45"/>
      <c r="B13" s="45"/>
      <c r="C13" s="45"/>
      <c r="D13" s="45"/>
    </row>
  </sheetData>
  <pageMargins left="0.7" right="0.7" top="0.75" bottom="0.75" header="0.3" footer="0.3"/>
  <pageSetup scale="65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5AF06-A98B-E849-B5BA-A4437AA8F946}">
  <sheetPr>
    <pageSetUpPr fitToPage="1"/>
  </sheetPr>
  <dimension ref="A1:AA103"/>
  <sheetViews>
    <sheetView workbookViewId="0">
      <selection activeCell="I15" sqref="I15"/>
    </sheetView>
  </sheetViews>
  <sheetFormatPr baseColWidth="10" defaultRowHeight="16" x14ac:dyDescent="0.2"/>
  <sheetData>
    <row r="1" spans="1:27" ht="35" thickBot="1" x14ac:dyDescent="0.25">
      <c r="A1" s="16" t="s">
        <v>81</v>
      </c>
      <c r="B1" s="16" t="s">
        <v>140</v>
      </c>
      <c r="C1" s="16" t="s">
        <v>139</v>
      </c>
      <c r="D1" s="16" t="s">
        <v>137</v>
      </c>
      <c r="E1" s="16" t="s">
        <v>138</v>
      </c>
      <c r="F1" s="148" t="s">
        <v>49</v>
      </c>
      <c r="G1" s="149" t="s">
        <v>48</v>
      </c>
      <c r="H1" s="37"/>
      <c r="I1" s="16" t="s">
        <v>81</v>
      </c>
      <c r="J1" s="16" t="s">
        <v>140</v>
      </c>
      <c r="K1" s="16" t="s">
        <v>139</v>
      </c>
      <c r="L1" s="16" t="s">
        <v>137</v>
      </c>
      <c r="M1" s="16" t="s">
        <v>138</v>
      </c>
      <c r="N1" s="148" t="s">
        <v>49</v>
      </c>
      <c r="O1" s="149" t="s">
        <v>48</v>
      </c>
      <c r="P1" s="99"/>
      <c r="Q1" s="99"/>
      <c r="R1" s="37"/>
      <c r="S1" s="37"/>
      <c r="T1" s="37"/>
      <c r="U1" s="37"/>
      <c r="V1" s="37"/>
      <c r="W1" s="37"/>
      <c r="X1" s="37"/>
      <c r="Y1" s="37"/>
      <c r="Z1" s="99"/>
      <c r="AA1" s="99"/>
    </row>
    <row r="2" spans="1:27" x14ac:dyDescent="0.2">
      <c r="A2" s="134" t="s">
        <v>70</v>
      </c>
      <c r="B2" s="164">
        <v>0</v>
      </c>
      <c r="C2" s="165">
        <f>'C. diff CFUs'!C4</f>
        <v>43623</v>
      </c>
      <c r="D2" s="166" t="str">
        <f>Inventory!O2</f>
        <v>nt_4_0</v>
      </c>
      <c r="E2" s="58" t="s">
        <v>39</v>
      </c>
      <c r="F2" s="162">
        <v>0.98450000000000004</v>
      </c>
      <c r="G2" s="167">
        <v>0.99519999999999997</v>
      </c>
      <c r="H2" s="37"/>
      <c r="I2" s="157" t="s">
        <v>194</v>
      </c>
      <c r="J2" s="158">
        <v>0</v>
      </c>
      <c r="K2" s="159">
        <v>43623</v>
      </c>
      <c r="L2" s="160" t="s">
        <v>192</v>
      </c>
      <c r="M2" s="161" t="s">
        <v>39</v>
      </c>
      <c r="N2" s="162">
        <v>0.99350000000000005</v>
      </c>
      <c r="O2" s="163">
        <v>1.004</v>
      </c>
      <c r="P2" s="99"/>
      <c r="Q2" s="99"/>
      <c r="R2" s="37"/>
      <c r="S2" s="37"/>
      <c r="T2" s="37"/>
      <c r="U2" s="37"/>
      <c r="V2" s="37"/>
      <c r="W2" s="37"/>
      <c r="X2" s="37"/>
      <c r="Y2" s="37"/>
      <c r="Z2" s="99"/>
      <c r="AA2" s="99"/>
    </row>
    <row r="3" spans="1:27" x14ac:dyDescent="0.2">
      <c r="A3" s="134" t="s">
        <v>70</v>
      </c>
      <c r="B3" s="58">
        <v>0</v>
      </c>
      <c r="C3" s="156">
        <f>'C. diff CFUs'!C5</f>
        <v>43623</v>
      </c>
      <c r="D3" s="17" t="str">
        <f>Inventory!O3</f>
        <v>nt_4_R</v>
      </c>
      <c r="E3" s="58" t="s">
        <v>40</v>
      </c>
      <c r="F3" s="13">
        <v>0.98829999999999996</v>
      </c>
      <c r="G3" s="145">
        <v>1.0042</v>
      </c>
      <c r="H3" s="37"/>
      <c r="I3" s="20" t="s">
        <v>194</v>
      </c>
      <c r="J3" s="168">
        <v>0</v>
      </c>
      <c r="K3" s="156">
        <v>43623</v>
      </c>
      <c r="L3" s="17" t="s">
        <v>193</v>
      </c>
      <c r="M3" s="60" t="s">
        <v>39</v>
      </c>
      <c r="N3" s="13">
        <v>0.98150000000000004</v>
      </c>
      <c r="O3" s="17">
        <v>0.99490000000000001</v>
      </c>
      <c r="P3" s="99"/>
      <c r="Q3" s="99"/>
      <c r="R3" s="37"/>
      <c r="S3" s="37"/>
      <c r="T3" s="37"/>
      <c r="U3" s="37"/>
      <c r="V3" s="37"/>
      <c r="W3" s="37"/>
      <c r="X3" s="37"/>
      <c r="Y3" s="37"/>
      <c r="Z3" s="99"/>
      <c r="AA3" s="99"/>
    </row>
    <row r="4" spans="1:27" x14ac:dyDescent="0.2">
      <c r="A4" s="136" t="s">
        <v>27</v>
      </c>
      <c r="B4" s="70">
        <v>0</v>
      </c>
      <c r="C4" s="156">
        <f>'C. diff CFUs'!C6</f>
        <v>43623</v>
      </c>
      <c r="D4" s="17" t="str">
        <f>Inventory!O4</f>
        <v>f_4_0</v>
      </c>
      <c r="E4" s="72" t="s">
        <v>39</v>
      </c>
      <c r="F4" s="143">
        <v>0.98119999999999996</v>
      </c>
      <c r="G4" s="146">
        <v>0.99809999999999999</v>
      </c>
      <c r="H4" s="46"/>
      <c r="I4" s="20" t="s">
        <v>194</v>
      </c>
      <c r="J4" s="46">
        <v>1</v>
      </c>
      <c r="K4" s="169">
        <v>43624</v>
      </c>
      <c r="L4" s="160" t="s">
        <v>192</v>
      </c>
      <c r="M4" s="60" t="s">
        <v>39</v>
      </c>
      <c r="N4" s="46">
        <v>0.99299999999999999</v>
      </c>
      <c r="O4" s="46">
        <v>1.0085999999999999</v>
      </c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</row>
    <row r="5" spans="1:27" x14ac:dyDescent="0.2">
      <c r="A5" s="136" t="s">
        <v>27</v>
      </c>
      <c r="B5" s="70">
        <v>0</v>
      </c>
      <c r="C5" s="156">
        <f>'C. diff CFUs'!C7</f>
        <v>43623</v>
      </c>
      <c r="D5" s="17" t="str">
        <f>Inventory!O5</f>
        <v>f_4_R</v>
      </c>
      <c r="E5" s="72" t="s">
        <v>40</v>
      </c>
      <c r="F5" s="13">
        <v>0.97360000000000002</v>
      </c>
      <c r="G5" s="146">
        <v>0.99199999999999999</v>
      </c>
      <c r="H5" s="46"/>
      <c r="I5" s="20" t="s">
        <v>194</v>
      </c>
      <c r="J5" s="46">
        <v>1</v>
      </c>
      <c r="K5" s="169">
        <v>43624</v>
      </c>
      <c r="L5" s="17" t="s">
        <v>193</v>
      </c>
      <c r="M5" s="60" t="s">
        <v>39</v>
      </c>
      <c r="N5" s="46">
        <v>0.98299999999999998</v>
      </c>
      <c r="O5" s="46">
        <v>0.998</v>
      </c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27" x14ac:dyDescent="0.2">
      <c r="A6" s="134" t="s">
        <v>73</v>
      </c>
      <c r="B6" s="58">
        <v>0</v>
      </c>
      <c r="C6" s="156">
        <f>'C. diff CFUs'!C8</f>
        <v>43623</v>
      </c>
      <c r="D6" s="17" t="str">
        <f>Inventory!O6</f>
        <v>m_4_0</v>
      </c>
      <c r="E6" s="58" t="s">
        <v>39</v>
      </c>
      <c r="F6" s="43">
        <v>0.97040000000000004</v>
      </c>
      <c r="G6" s="145">
        <v>0.97950000000000004</v>
      </c>
      <c r="H6" s="46"/>
      <c r="I6" s="20" t="s">
        <v>194</v>
      </c>
      <c r="J6" s="46">
        <v>2</v>
      </c>
      <c r="K6" s="169">
        <v>43625</v>
      </c>
      <c r="L6" s="160" t="s">
        <v>192</v>
      </c>
      <c r="M6" s="60" t="s">
        <v>39</v>
      </c>
      <c r="N6" s="46">
        <v>0.98650000000000004</v>
      </c>
      <c r="O6" s="46">
        <v>1.0061</v>
      </c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</row>
    <row r="7" spans="1:27" x14ac:dyDescent="0.2">
      <c r="A7" s="134" t="s">
        <v>73</v>
      </c>
      <c r="B7" s="58">
        <v>0</v>
      </c>
      <c r="C7" s="156">
        <f>'C. diff CFUs'!C9</f>
        <v>43623</v>
      </c>
      <c r="D7" s="17" t="str">
        <f>Inventory!O7</f>
        <v>m_4_R</v>
      </c>
      <c r="E7" s="58" t="s">
        <v>40</v>
      </c>
      <c r="F7" s="43">
        <v>0.98660000000000003</v>
      </c>
      <c r="G7" s="145">
        <v>1.0267999999999999</v>
      </c>
      <c r="H7" s="46"/>
      <c r="I7" s="20" t="s">
        <v>194</v>
      </c>
      <c r="J7" s="46">
        <v>2</v>
      </c>
      <c r="K7" s="169">
        <v>43625</v>
      </c>
      <c r="L7" s="17" t="s">
        <v>193</v>
      </c>
      <c r="M7" s="60" t="s">
        <v>39</v>
      </c>
      <c r="N7" s="46">
        <v>0.97919999999999996</v>
      </c>
      <c r="O7" s="46">
        <v>1.0088999999999999</v>
      </c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</row>
    <row r="8" spans="1:27" x14ac:dyDescent="0.2">
      <c r="A8" s="136" t="s">
        <v>7</v>
      </c>
      <c r="B8" s="70">
        <v>0</v>
      </c>
      <c r="C8" s="156">
        <f>'C. diff CFUs'!C10</f>
        <v>43623</v>
      </c>
      <c r="D8" s="17" t="str">
        <f>Inventory!O8</f>
        <v>l_4_0</v>
      </c>
      <c r="E8" s="72" t="s">
        <v>39</v>
      </c>
      <c r="F8" s="13">
        <v>0.98480000000000001</v>
      </c>
      <c r="G8" s="146">
        <v>1.0002</v>
      </c>
      <c r="H8" s="46"/>
      <c r="I8" s="20" t="s">
        <v>194</v>
      </c>
      <c r="J8" s="46">
        <v>3</v>
      </c>
      <c r="K8" s="169">
        <v>43626</v>
      </c>
      <c r="L8" s="171" t="s">
        <v>192</v>
      </c>
      <c r="M8" s="60" t="s">
        <v>39</v>
      </c>
      <c r="N8" s="46">
        <v>0.99550000000000005</v>
      </c>
      <c r="O8" s="46">
        <v>1.0107999999999999</v>
      </c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</row>
    <row r="9" spans="1:27" ht="17" thickBot="1" x14ac:dyDescent="0.25">
      <c r="A9" s="139" t="s">
        <v>7</v>
      </c>
      <c r="B9" s="82">
        <v>0</v>
      </c>
      <c r="C9" s="156">
        <f>'C. diff CFUs'!C11</f>
        <v>43623</v>
      </c>
      <c r="D9" s="17" t="str">
        <f>Inventory!O9</f>
        <v>l_4_R</v>
      </c>
      <c r="E9" s="84" t="s">
        <v>40</v>
      </c>
      <c r="F9" s="13">
        <v>0.98360000000000003</v>
      </c>
      <c r="G9" s="147">
        <v>0.99229999999999996</v>
      </c>
      <c r="H9" s="46"/>
      <c r="I9" s="20" t="s">
        <v>194</v>
      </c>
      <c r="J9" s="46">
        <v>3</v>
      </c>
      <c r="K9" s="169">
        <v>43626</v>
      </c>
      <c r="L9" s="20" t="s">
        <v>193</v>
      </c>
      <c r="M9" s="60" t="s">
        <v>39</v>
      </c>
      <c r="N9" s="46">
        <v>0.98670000000000002</v>
      </c>
      <c r="O9" s="46">
        <v>1.0125</v>
      </c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</row>
    <row r="10" spans="1:27" x14ac:dyDescent="0.2">
      <c r="A10" s="134" t="s">
        <v>70</v>
      </c>
      <c r="B10" s="58">
        <v>1</v>
      </c>
      <c r="C10" s="156">
        <f>'C. diff CFUs'!C14</f>
        <v>43624</v>
      </c>
      <c r="D10" s="17" t="str">
        <f>Inventory!O2</f>
        <v>nt_4_0</v>
      </c>
      <c r="E10" s="58" t="s">
        <v>39</v>
      </c>
      <c r="F10" s="143">
        <v>0.98599999999999999</v>
      </c>
      <c r="G10" s="150">
        <v>0.99480000000000002</v>
      </c>
      <c r="H10" s="46"/>
      <c r="I10" s="20" t="s">
        <v>194</v>
      </c>
      <c r="J10" s="46">
        <v>4</v>
      </c>
      <c r="K10" s="169">
        <v>43627</v>
      </c>
      <c r="L10" s="171" t="s">
        <v>192</v>
      </c>
      <c r="M10" s="60" t="s">
        <v>39</v>
      </c>
      <c r="N10" s="46">
        <v>0.98150000000000004</v>
      </c>
      <c r="O10" s="46">
        <v>1.0047999999999999</v>
      </c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</row>
    <row r="11" spans="1:27" x14ac:dyDescent="0.2">
      <c r="A11" s="134" t="s">
        <v>70</v>
      </c>
      <c r="B11" s="58">
        <v>1</v>
      </c>
      <c r="C11" s="156">
        <f>'C. diff CFUs'!C15</f>
        <v>43624</v>
      </c>
      <c r="D11" s="17" t="str">
        <f>Inventory!O3</f>
        <v>nt_4_R</v>
      </c>
      <c r="E11" s="58" t="s">
        <v>40</v>
      </c>
      <c r="F11" s="13">
        <v>0.99029999999999996</v>
      </c>
      <c r="G11" s="135">
        <v>1.0081</v>
      </c>
      <c r="H11" s="46"/>
      <c r="I11" s="20" t="s">
        <v>194</v>
      </c>
      <c r="J11" s="46">
        <v>4</v>
      </c>
      <c r="K11" s="169">
        <v>43627</v>
      </c>
      <c r="L11" s="20" t="s">
        <v>193</v>
      </c>
      <c r="M11" s="60" t="s">
        <v>39</v>
      </c>
      <c r="N11" s="46">
        <v>0.98650000000000004</v>
      </c>
      <c r="O11" s="46">
        <v>1.0101</v>
      </c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</row>
    <row r="12" spans="1:27" x14ac:dyDescent="0.2">
      <c r="A12" s="136" t="s">
        <v>27</v>
      </c>
      <c r="B12" s="70">
        <v>1</v>
      </c>
      <c r="C12" s="156">
        <f>'C. diff CFUs'!C16</f>
        <v>43624</v>
      </c>
      <c r="D12" s="17" t="str">
        <f>Inventory!O4</f>
        <v>f_4_0</v>
      </c>
      <c r="E12" s="72" t="s">
        <v>39</v>
      </c>
      <c r="F12" s="43">
        <v>0.98799999999999999</v>
      </c>
      <c r="G12" s="137">
        <v>1.0019</v>
      </c>
      <c r="H12" s="46"/>
      <c r="I12" s="20" t="s">
        <v>194</v>
      </c>
      <c r="J12" s="46">
        <v>5</v>
      </c>
      <c r="K12" s="169">
        <v>43628</v>
      </c>
      <c r="L12" s="171" t="s">
        <v>192</v>
      </c>
      <c r="M12" s="60" t="s">
        <v>39</v>
      </c>
      <c r="N12" s="46">
        <v>0.98219999999999996</v>
      </c>
      <c r="O12" s="46">
        <v>0.99760000000000004</v>
      </c>
      <c r="P12" s="54"/>
      <c r="Q12" s="54"/>
      <c r="R12" s="46"/>
      <c r="S12" s="46"/>
      <c r="T12" s="46"/>
      <c r="U12" s="46"/>
      <c r="V12" s="46"/>
      <c r="W12" s="46"/>
      <c r="X12" s="46"/>
      <c r="Y12" s="46"/>
      <c r="Z12" s="46"/>
      <c r="AA12" s="46"/>
    </row>
    <row r="13" spans="1:27" x14ac:dyDescent="0.2">
      <c r="A13" s="136" t="s">
        <v>27</v>
      </c>
      <c r="B13" s="70">
        <v>1</v>
      </c>
      <c r="C13" s="156">
        <f>'C. diff CFUs'!C17</f>
        <v>43624</v>
      </c>
      <c r="D13" s="17" t="str">
        <f>Inventory!O5</f>
        <v>f_4_R</v>
      </c>
      <c r="E13" s="72" t="s">
        <v>40</v>
      </c>
      <c r="F13" s="43">
        <v>0.98240000000000005</v>
      </c>
      <c r="G13" s="137">
        <v>1.0029999999999999</v>
      </c>
      <c r="H13" s="46"/>
      <c r="I13" s="20" t="s">
        <v>194</v>
      </c>
      <c r="J13" s="46">
        <v>5</v>
      </c>
      <c r="K13" s="169">
        <v>43628</v>
      </c>
      <c r="L13" s="20" t="s">
        <v>193</v>
      </c>
      <c r="M13" s="60" t="s">
        <v>39</v>
      </c>
      <c r="N13" s="46">
        <v>0.98309999999999997</v>
      </c>
      <c r="O13" s="46">
        <v>1.0018</v>
      </c>
      <c r="P13" s="54"/>
      <c r="Q13" s="54"/>
      <c r="R13" s="46"/>
      <c r="S13" s="46"/>
      <c r="T13" s="46"/>
      <c r="U13" s="46"/>
      <c r="V13" s="46"/>
      <c r="W13" s="46"/>
      <c r="X13" s="46"/>
      <c r="Y13" s="46"/>
      <c r="Z13" s="46"/>
      <c r="AA13" s="46"/>
    </row>
    <row r="14" spans="1:27" x14ac:dyDescent="0.2">
      <c r="A14" s="134" t="s">
        <v>73</v>
      </c>
      <c r="B14" s="58">
        <v>1</v>
      </c>
      <c r="C14" s="156">
        <f>'C. diff CFUs'!C18</f>
        <v>43624</v>
      </c>
      <c r="D14" s="17" t="str">
        <f>Inventory!O6</f>
        <v>m_4_0</v>
      </c>
      <c r="E14" s="58" t="s">
        <v>39</v>
      </c>
      <c r="F14" s="44">
        <v>0.97840000000000005</v>
      </c>
      <c r="G14" s="138">
        <v>0.98819999999999997</v>
      </c>
      <c r="H14" s="46"/>
      <c r="I14" s="46"/>
      <c r="J14" s="46"/>
      <c r="K14" s="46"/>
      <c r="L14" s="46"/>
      <c r="M14" s="46"/>
      <c r="N14" s="46"/>
      <c r="O14" s="46"/>
      <c r="P14" s="54"/>
      <c r="Q14" s="54"/>
      <c r="R14" s="46"/>
      <c r="S14" s="46"/>
      <c r="T14" s="46"/>
    </row>
    <row r="15" spans="1:27" x14ac:dyDescent="0.2">
      <c r="A15" s="134" t="s">
        <v>73</v>
      </c>
      <c r="B15" s="58">
        <v>1</v>
      </c>
      <c r="C15" s="156">
        <f>'C. diff CFUs'!C19</f>
        <v>43624</v>
      </c>
      <c r="D15" s="17" t="str">
        <f>Inventory!O7</f>
        <v>m_4_R</v>
      </c>
      <c r="E15" s="58" t="s">
        <v>40</v>
      </c>
      <c r="F15" s="44">
        <v>0.98380000000000001</v>
      </c>
      <c r="G15" s="138">
        <v>1.0105999999999999</v>
      </c>
      <c r="H15" s="46"/>
      <c r="I15" s="46"/>
      <c r="J15" s="46"/>
      <c r="K15" s="46"/>
      <c r="L15" s="46"/>
      <c r="M15" s="46"/>
      <c r="N15" s="46"/>
      <c r="O15" s="46"/>
      <c r="P15" s="54"/>
      <c r="Q15" s="54"/>
      <c r="R15" s="46"/>
      <c r="S15" s="46"/>
      <c r="T15" s="46"/>
    </row>
    <row r="16" spans="1:27" x14ac:dyDescent="0.2">
      <c r="A16" s="136" t="s">
        <v>7</v>
      </c>
      <c r="B16" s="70">
        <v>1</v>
      </c>
      <c r="C16" s="156">
        <f>'C. diff CFUs'!C20</f>
        <v>43624</v>
      </c>
      <c r="D16" s="17" t="str">
        <f>Inventory!O8</f>
        <v>l_4_0</v>
      </c>
      <c r="E16" s="72" t="s">
        <v>39</v>
      </c>
      <c r="F16" s="43">
        <v>0.98760000000000003</v>
      </c>
      <c r="G16" s="137">
        <v>1.0225</v>
      </c>
      <c r="H16" s="46"/>
      <c r="I16" s="46"/>
      <c r="J16" s="46"/>
      <c r="K16" s="46"/>
      <c r="L16" s="46"/>
      <c r="M16" s="46"/>
      <c r="N16" s="46"/>
      <c r="O16" s="46"/>
      <c r="P16" s="54"/>
      <c r="Q16" s="54"/>
      <c r="R16" s="46"/>
      <c r="S16" s="46"/>
      <c r="T16" s="46"/>
    </row>
    <row r="17" spans="1:20" ht="17" thickBot="1" x14ac:dyDescent="0.25">
      <c r="A17" s="151" t="s">
        <v>7</v>
      </c>
      <c r="B17" s="126">
        <v>1</v>
      </c>
      <c r="C17" s="156">
        <f>'C. diff CFUs'!C21</f>
        <v>43624</v>
      </c>
      <c r="D17" s="17" t="str">
        <f>Inventory!O9</f>
        <v>l_4_R</v>
      </c>
      <c r="E17" s="128" t="s">
        <v>40</v>
      </c>
      <c r="F17" s="125">
        <v>0.97519999999999996</v>
      </c>
      <c r="G17" s="152" t="s">
        <v>195</v>
      </c>
      <c r="H17" s="46"/>
      <c r="I17" s="46"/>
      <c r="J17" s="46"/>
      <c r="K17" s="46"/>
      <c r="L17" s="46"/>
      <c r="M17" s="46"/>
      <c r="N17" s="46"/>
      <c r="O17" s="46"/>
      <c r="P17" s="54"/>
      <c r="Q17" s="54"/>
      <c r="R17" s="46"/>
      <c r="S17" s="46"/>
      <c r="T17" s="46"/>
    </row>
    <row r="18" spans="1:20" x14ac:dyDescent="0.2">
      <c r="A18" s="129" t="s">
        <v>70</v>
      </c>
      <c r="B18" s="130">
        <v>2</v>
      </c>
      <c r="C18" s="156">
        <f>'C. diff CFUs'!C24</f>
        <v>43625</v>
      </c>
      <c r="D18" s="17" t="str">
        <f>Inventory!O2</f>
        <v>nt_4_0</v>
      </c>
      <c r="E18" s="130" t="s">
        <v>39</v>
      </c>
      <c r="F18" s="132">
        <v>0.97860000000000003</v>
      </c>
      <c r="G18" s="133">
        <v>0.99790000000000001</v>
      </c>
      <c r="H18" s="46"/>
      <c r="I18" s="46"/>
      <c r="J18" s="46"/>
      <c r="K18" s="46"/>
      <c r="L18" s="46"/>
      <c r="M18" s="46"/>
      <c r="N18" s="46"/>
      <c r="O18" s="46"/>
      <c r="P18" s="54"/>
      <c r="Q18" s="54"/>
      <c r="R18" s="46"/>
      <c r="S18" s="46"/>
      <c r="T18" s="46"/>
    </row>
    <row r="19" spans="1:20" x14ac:dyDescent="0.2">
      <c r="A19" s="134" t="s">
        <v>70</v>
      </c>
      <c r="B19" s="58">
        <v>2</v>
      </c>
      <c r="C19" s="156">
        <f>'C. diff CFUs'!C25</f>
        <v>43625</v>
      </c>
      <c r="D19" s="17" t="str">
        <f>Inventory!O3</f>
        <v>nt_4_R</v>
      </c>
      <c r="E19" s="58" t="s">
        <v>40</v>
      </c>
      <c r="F19" s="13">
        <v>0.98209999999999997</v>
      </c>
      <c r="G19" s="135">
        <v>1.0068999999999999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</row>
    <row r="20" spans="1:20" x14ac:dyDescent="0.2">
      <c r="A20" s="136" t="s">
        <v>27</v>
      </c>
      <c r="B20" s="70">
        <v>2</v>
      </c>
      <c r="C20" s="156">
        <f>'C. diff CFUs'!C26</f>
        <v>43625</v>
      </c>
      <c r="D20" s="17" t="str">
        <f>Inventory!O4</f>
        <v>f_4_0</v>
      </c>
      <c r="E20" s="72" t="s">
        <v>39</v>
      </c>
      <c r="F20" s="43">
        <v>0.98260000000000003</v>
      </c>
      <c r="G20" s="137">
        <v>1.0135000000000001</v>
      </c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</row>
    <row r="21" spans="1:20" x14ac:dyDescent="0.2">
      <c r="A21" s="136" t="s">
        <v>27</v>
      </c>
      <c r="B21" s="70">
        <v>2</v>
      </c>
      <c r="C21" s="156">
        <f>'C. diff CFUs'!C27</f>
        <v>43625</v>
      </c>
      <c r="D21" s="17" t="str">
        <f>Inventory!O5</f>
        <v>f_4_R</v>
      </c>
      <c r="E21" s="72" t="s">
        <v>40</v>
      </c>
      <c r="F21" s="43">
        <v>0.98229999999999995</v>
      </c>
      <c r="G21" s="137">
        <v>1.028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</row>
    <row r="22" spans="1:20" x14ac:dyDescent="0.2">
      <c r="A22" s="134" t="s">
        <v>73</v>
      </c>
      <c r="B22" s="58">
        <v>2</v>
      </c>
      <c r="C22" s="156">
        <f>'C. diff CFUs'!C28</f>
        <v>43625</v>
      </c>
      <c r="D22" s="17" t="str">
        <f>Inventory!O6</f>
        <v>m_4_0</v>
      </c>
      <c r="E22" s="58" t="s">
        <v>39</v>
      </c>
      <c r="F22" s="44">
        <v>0.98260000000000003</v>
      </c>
      <c r="G22" s="138">
        <v>1.0063</v>
      </c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</row>
    <row r="23" spans="1:20" x14ac:dyDescent="0.2">
      <c r="A23" s="134" t="s">
        <v>73</v>
      </c>
      <c r="B23" s="58">
        <v>2</v>
      </c>
      <c r="C23" s="156">
        <f>'C. diff CFUs'!C29</f>
        <v>43625</v>
      </c>
      <c r="D23" s="17" t="str">
        <f>Inventory!O7</f>
        <v>m_4_R</v>
      </c>
      <c r="E23" s="58" t="s">
        <v>40</v>
      </c>
      <c r="F23" s="44">
        <v>0.98650000000000004</v>
      </c>
      <c r="G23" s="138">
        <v>1.0239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</row>
    <row r="24" spans="1:20" x14ac:dyDescent="0.2">
      <c r="A24" s="136" t="s">
        <v>7</v>
      </c>
      <c r="B24" s="70">
        <v>2</v>
      </c>
      <c r="C24" s="156">
        <f>'C. diff CFUs'!C30</f>
        <v>43625</v>
      </c>
      <c r="D24" s="17" t="str">
        <f>Inventory!O8</f>
        <v>l_4_0</v>
      </c>
      <c r="E24" s="72" t="s">
        <v>39</v>
      </c>
      <c r="F24" s="43">
        <v>0.98809999999999998</v>
      </c>
      <c r="G24" s="137">
        <v>1.0108999999999999</v>
      </c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</row>
    <row r="25" spans="1:20" ht="17" thickBot="1" x14ac:dyDescent="0.25">
      <c r="A25" s="139" t="s">
        <v>7</v>
      </c>
      <c r="B25" s="82">
        <v>2</v>
      </c>
      <c r="C25" s="156">
        <f>'C. diff CFUs'!C31</f>
        <v>43625</v>
      </c>
      <c r="D25" s="17" t="str">
        <f>Inventory!O9</f>
        <v>l_4_R</v>
      </c>
      <c r="E25" s="84" t="s">
        <v>40</v>
      </c>
      <c r="F25" s="141">
        <v>0.98160000000000003</v>
      </c>
      <c r="G25" s="142">
        <v>1.0117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</row>
    <row r="26" spans="1:20" x14ac:dyDescent="0.2">
      <c r="A26" s="134" t="s">
        <v>70</v>
      </c>
      <c r="B26" s="58">
        <v>3</v>
      </c>
      <c r="C26" s="156">
        <f>'C. diff CFUs'!C34</f>
        <v>43626</v>
      </c>
      <c r="D26" s="17" t="str">
        <f>Inventory!O2</f>
        <v>nt_4_0</v>
      </c>
      <c r="E26" s="58" t="s">
        <v>39</v>
      </c>
      <c r="F26" s="143">
        <v>0.98509999999999998</v>
      </c>
      <c r="G26" s="150">
        <v>1.0161</v>
      </c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</row>
    <row r="27" spans="1:20" x14ac:dyDescent="0.2">
      <c r="A27" s="134" t="s">
        <v>70</v>
      </c>
      <c r="B27" s="58">
        <v>3</v>
      </c>
      <c r="C27" s="156">
        <f>'C. diff CFUs'!C35</f>
        <v>43626</v>
      </c>
      <c r="D27" s="17" t="str">
        <f>Inventory!O3</f>
        <v>nt_4_R</v>
      </c>
      <c r="E27" s="58" t="s">
        <v>40</v>
      </c>
      <c r="F27" s="13">
        <v>0.98150000000000004</v>
      </c>
      <c r="G27" s="135">
        <v>1.0045999999999999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</row>
    <row r="28" spans="1:20" x14ac:dyDescent="0.2">
      <c r="A28" s="136" t="s">
        <v>27</v>
      </c>
      <c r="B28" s="70">
        <v>3</v>
      </c>
      <c r="C28" s="156">
        <f>'C. diff CFUs'!C36</f>
        <v>43626</v>
      </c>
      <c r="D28" s="17" t="str">
        <f>Inventory!O4</f>
        <v>f_4_0</v>
      </c>
      <c r="E28" s="72" t="s">
        <v>39</v>
      </c>
      <c r="F28" s="43">
        <v>0.98299999999999998</v>
      </c>
      <c r="G28" s="137">
        <v>0.99709999999999999</v>
      </c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</row>
    <row r="29" spans="1:20" x14ac:dyDescent="0.2">
      <c r="A29" s="136" t="s">
        <v>27</v>
      </c>
      <c r="B29" s="70">
        <v>3</v>
      </c>
      <c r="C29" s="156">
        <f>'C. diff CFUs'!C37</f>
        <v>43626</v>
      </c>
      <c r="D29" s="17" t="str">
        <f>Inventory!O5</f>
        <v>f_4_R</v>
      </c>
      <c r="E29" s="72" t="s">
        <v>40</v>
      </c>
      <c r="F29" s="43">
        <v>0.97609999999999997</v>
      </c>
      <c r="G29" s="137">
        <v>1.0230999999999999</v>
      </c>
    </row>
    <row r="30" spans="1:20" x14ac:dyDescent="0.2">
      <c r="A30" s="134" t="s">
        <v>73</v>
      </c>
      <c r="B30" s="58">
        <v>3</v>
      </c>
      <c r="C30" s="156">
        <f>'C. diff CFUs'!C38</f>
        <v>43626</v>
      </c>
      <c r="D30" s="17" t="str">
        <f>Inventory!O6</f>
        <v>m_4_0</v>
      </c>
      <c r="E30" s="58" t="s">
        <v>39</v>
      </c>
      <c r="F30" s="44">
        <v>0.98619999999999997</v>
      </c>
      <c r="G30" s="138">
        <v>1.0197000000000001</v>
      </c>
    </row>
    <row r="31" spans="1:20" x14ac:dyDescent="0.2">
      <c r="A31" s="134" t="s">
        <v>73</v>
      </c>
      <c r="B31" s="58">
        <v>3</v>
      </c>
      <c r="C31" s="156">
        <f>'C. diff CFUs'!C39</f>
        <v>43626</v>
      </c>
      <c r="D31" s="17" t="str">
        <f>Inventory!O7</f>
        <v>m_4_R</v>
      </c>
      <c r="E31" s="58" t="s">
        <v>40</v>
      </c>
      <c r="F31" s="44">
        <v>0.99009999999999998</v>
      </c>
      <c r="G31" s="138">
        <v>1.0209999999999999</v>
      </c>
    </row>
    <row r="32" spans="1:20" x14ac:dyDescent="0.2">
      <c r="A32" s="136" t="s">
        <v>7</v>
      </c>
      <c r="B32" s="70">
        <v>3</v>
      </c>
      <c r="C32" s="156">
        <f>'C. diff CFUs'!C40</f>
        <v>43626</v>
      </c>
      <c r="D32" s="17" t="str">
        <f>Inventory!O8</f>
        <v>l_4_0</v>
      </c>
      <c r="E32" s="72" t="s">
        <v>39</v>
      </c>
      <c r="F32" s="43">
        <v>0.98540000000000005</v>
      </c>
      <c r="G32" s="137">
        <v>1.0052000000000001</v>
      </c>
    </row>
    <row r="33" spans="1:7" ht="17" thickBot="1" x14ac:dyDescent="0.25">
      <c r="A33" s="151" t="s">
        <v>7</v>
      </c>
      <c r="B33" s="126">
        <v>3</v>
      </c>
      <c r="C33" s="156">
        <f>'C. diff CFUs'!C41</f>
        <v>43626</v>
      </c>
      <c r="D33" s="17" t="str">
        <f>Inventory!O9</f>
        <v>l_4_R</v>
      </c>
      <c r="E33" s="128" t="s">
        <v>40</v>
      </c>
      <c r="F33" s="125">
        <v>0.98399999999999999</v>
      </c>
      <c r="G33" s="152">
        <v>0.99870000000000003</v>
      </c>
    </row>
    <row r="34" spans="1:7" x14ac:dyDescent="0.2">
      <c r="A34" s="129" t="s">
        <v>70</v>
      </c>
      <c r="B34" s="130">
        <v>4</v>
      </c>
      <c r="C34" s="156">
        <f>'C. diff CFUs'!C44</f>
        <v>43627</v>
      </c>
      <c r="D34" s="17" t="str">
        <f>Inventory!O2</f>
        <v>nt_4_0</v>
      </c>
      <c r="E34" s="130" t="s">
        <v>39</v>
      </c>
      <c r="F34" s="132">
        <v>0.9889</v>
      </c>
      <c r="G34" s="133">
        <v>1.0141</v>
      </c>
    </row>
    <row r="35" spans="1:7" x14ac:dyDescent="0.2">
      <c r="A35" s="134" t="s">
        <v>70</v>
      </c>
      <c r="B35" s="58">
        <v>4</v>
      </c>
      <c r="C35" s="156">
        <f>'C. diff CFUs'!C45</f>
        <v>43627</v>
      </c>
      <c r="D35" s="17" t="str">
        <f>Inventory!O3</f>
        <v>nt_4_R</v>
      </c>
      <c r="E35" s="58" t="s">
        <v>40</v>
      </c>
      <c r="F35" s="13">
        <v>0.98250000000000004</v>
      </c>
      <c r="G35" s="135">
        <v>1.0059</v>
      </c>
    </row>
    <row r="36" spans="1:7" x14ac:dyDescent="0.2">
      <c r="A36" s="136" t="s">
        <v>27</v>
      </c>
      <c r="B36" s="70">
        <v>4</v>
      </c>
      <c r="C36" s="156">
        <f>'C. diff CFUs'!C46</f>
        <v>43627</v>
      </c>
      <c r="D36" s="17" t="str">
        <f>Inventory!O4</f>
        <v>f_4_0</v>
      </c>
      <c r="E36" s="72" t="s">
        <v>39</v>
      </c>
      <c r="F36" s="43">
        <v>0.98609999999999998</v>
      </c>
      <c r="G36" s="137">
        <v>1.01</v>
      </c>
    </row>
    <row r="37" spans="1:7" x14ac:dyDescent="0.2">
      <c r="A37" s="136" t="s">
        <v>27</v>
      </c>
      <c r="B37" s="70">
        <v>4</v>
      </c>
      <c r="C37" s="156">
        <f>'C. diff CFUs'!C47</f>
        <v>43627</v>
      </c>
      <c r="D37" s="17" t="str">
        <f>Inventory!O5</f>
        <v>f_4_R</v>
      </c>
      <c r="E37" s="72" t="s">
        <v>40</v>
      </c>
      <c r="F37" s="43">
        <v>0.99160000000000004</v>
      </c>
      <c r="G37" s="137">
        <v>1.0150999999999999</v>
      </c>
    </row>
    <row r="38" spans="1:7" x14ac:dyDescent="0.2">
      <c r="A38" s="134" t="s">
        <v>73</v>
      </c>
      <c r="B38" s="58">
        <v>4</v>
      </c>
      <c r="C38" s="156">
        <f>'C. diff CFUs'!C48</f>
        <v>43627</v>
      </c>
      <c r="D38" s="17" t="str">
        <f>Inventory!O6</f>
        <v>m_4_0</v>
      </c>
      <c r="E38" s="58" t="s">
        <v>39</v>
      </c>
      <c r="F38" s="44">
        <v>0.98550000000000004</v>
      </c>
      <c r="G38" s="138">
        <v>1.0170999999999999</v>
      </c>
    </row>
    <row r="39" spans="1:7" x14ac:dyDescent="0.2">
      <c r="A39" s="134" t="s">
        <v>73</v>
      </c>
      <c r="B39" s="58">
        <v>4</v>
      </c>
      <c r="C39" s="156">
        <f>'C. diff CFUs'!C49</f>
        <v>43627</v>
      </c>
      <c r="D39" s="17" t="str">
        <f>Inventory!O7</f>
        <v>m_4_R</v>
      </c>
      <c r="E39" s="58" t="s">
        <v>40</v>
      </c>
      <c r="F39" s="44">
        <v>0.98650000000000004</v>
      </c>
      <c r="G39" s="138">
        <v>1.0087999999999999</v>
      </c>
    </row>
    <row r="40" spans="1:7" x14ac:dyDescent="0.2">
      <c r="A40" s="136" t="s">
        <v>7</v>
      </c>
      <c r="B40" s="70">
        <v>4</v>
      </c>
      <c r="C40" s="156">
        <f>'C. diff CFUs'!C50</f>
        <v>43627</v>
      </c>
      <c r="D40" s="17" t="str">
        <f>Inventory!O8</f>
        <v>l_4_0</v>
      </c>
      <c r="E40" s="72" t="s">
        <v>39</v>
      </c>
      <c r="F40" s="43">
        <v>0.99350000000000005</v>
      </c>
      <c r="G40" s="137">
        <v>1.0079</v>
      </c>
    </row>
    <row r="41" spans="1:7" ht="17" thickBot="1" x14ac:dyDescent="0.25">
      <c r="A41" s="139" t="s">
        <v>7</v>
      </c>
      <c r="B41" s="82">
        <v>4</v>
      </c>
      <c r="C41" s="156">
        <f>'C. diff CFUs'!C51</f>
        <v>43627</v>
      </c>
      <c r="D41" s="17" t="str">
        <f>Inventory!O9</f>
        <v>l_4_R</v>
      </c>
      <c r="E41" s="84" t="s">
        <v>40</v>
      </c>
      <c r="F41" s="141">
        <v>0.98140000000000005</v>
      </c>
      <c r="G41" s="142">
        <v>1.0167999999999999</v>
      </c>
    </row>
    <row r="42" spans="1:7" x14ac:dyDescent="0.2">
      <c r="A42" s="134" t="s">
        <v>70</v>
      </c>
      <c r="B42" s="58">
        <v>5</v>
      </c>
      <c r="C42" s="156">
        <f>'C. diff CFUs'!C54</f>
        <v>43628</v>
      </c>
      <c r="D42" s="17" t="str">
        <f>Inventory!O2</f>
        <v>nt_4_0</v>
      </c>
      <c r="E42" s="58" t="s">
        <v>39</v>
      </c>
      <c r="F42" s="143">
        <v>0.99370000000000003</v>
      </c>
      <c r="G42" s="150">
        <v>1.0150999999999999</v>
      </c>
    </row>
    <row r="43" spans="1:7" x14ac:dyDescent="0.2">
      <c r="A43" s="134" t="s">
        <v>70</v>
      </c>
      <c r="B43" s="58">
        <v>5</v>
      </c>
      <c r="C43" s="156">
        <f>'C. diff CFUs'!C55</f>
        <v>43628</v>
      </c>
      <c r="D43" s="17" t="str">
        <f>Inventory!O3</f>
        <v>nt_4_R</v>
      </c>
      <c r="E43" s="58" t="s">
        <v>40</v>
      </c>
      <c r="F43" s="13">
        <v>0.98150000000000004</v>
      </c>
      <c r="G43" s="135">
        <v>0.99670000000000003</v>
      </c>
    </row>
    <row r="44" spans="1:7" x14ac:dyDescent="0.2">
      <c r="A44" s="136" t="s">
        <v>27</v>
      </c>
      <c r="B44" s="70">
        <v>5</v>
      </c>
      <c r="C44" s="156">
        <f>'C. diff CFUs'!C56</f>
        <v>43628</v>
      </c>
      <c r="D44" s="17" t="str">
        <f>Inventory!O4</f>
        <v>f_4_0</v>
      </c>
      <c r="E44" s="72" t="s">
        <v>39</v>
      </c>
      <c r="F44" s="43">
        <v>0.98089999999999999</v>
      </c>
      <c r="G44" s="137">
        <v>1.0327</v>
      </c>
    </row>
    <row r="45" spans="1:7" x14ac:dyDescent="0.2">
      <c r="A45" s="136" t="s">
        <v>27</v>
      </c>
      <c r="B45" s="70">
        <v>5</v>
      </c>
      <c r="C45" s="156">
        <f>'C. diff CFUs'!C57</f>
        <v>43628</v>
      </c>
      <c r="D45" s="17" t="str">
        <f>Inventory!O5</f>
        <v>f_4_R</v>
      </c>
      <c r="E45" s="72" t="s">
        <v>40</v>
      </c>
      <c r="F45" s="43">
        <v>0.98619999999999997</v>
      </c>
      <c r="G45" s="137">
        <v>1.0426</v>
      </c>
    </row>
    <row r="46" spans="1:7" x14ac:dyDescent="0.2">
      <c r="A46" s="134" t="s">
        <v>73</v>
      </c>
      <c r="B46" s="58">
        <v>5</v>
      </c>
      <c r="C46" s="156">
        <f>'C. diff CFUs'!C58</f>
        <v>43628</v>
      </c>
      <c r="D46" s="17" t="str">
        <f>Inventory!O6</f>
        <v>m_4_0</v>
      </c>
      <c r="E46" s="58" t="s">
        <v>39</v>
      </c>
      <c r="F46" s="44">
        <v>0.98209999999999997</v>
      </c>
      <c r="G46" s="138">
        <v>1.004</v>
      </c>
    </row>
    <row r="47" spans="1:7" x14ac:dyDescent="0.2">
      <c r="A47" s="134" t="s">
        <v>73</v>
      </c>
      <c r="B47" s="58">
        <v>5</v>
      </c>
      <c r="C47" s="156">
        <f>'C. diff CFUs'!C59</f>
        <v>43628</v>
      </c>
      <c r="D47" s="17" t="str">
        <f>Inventory!O7</f>
        <v>m_4_R</v>
      </c>
      <c r="E47" s="58" t="s">
        <v>40</v>
      </c>
      <c r="F47" s="44">
        <v>0.99319999999999997</v>
      </c>
      <c r="G47" s="138">
        <v>1.0088999999999999</v>
      </c>
    </row>
    <row r="48" spans="1:7" x14ac:dyDescent="0.2">
      <c r="A48" s="136" t="s">
        <v>7</v>
      </c>
      <c r="B48" s="70">
        <v>5</v>
      </c>
      <c r="C48" s="156">
        <f>'C. diff CFUs'!C60</f>
        <v>43628</v>
      </c>
      <c r="D48" s="17" t="str">
        <f>Inventory!O8</f>
        <v>l_4_0</v>
      </c>
      <c r="E48" s="72" t="s">
        <v>39</v>
      </c>
      <c r="F48" s="43">
        <v>0.98850000000000005</v>
      </c>
      <c r="G48" s="137">
        <v>1.0101</v>
      </c>
    </row>
    <row r="49" spans="1:7" ht="17" thickBot="1" x14ac:dyDescent="0.25">
      <c r="A49" s="151" t="s">
        <v>7</v>
      </c>
      <c r="B49" s="126">
        <v>5</v>
      </c>
      <c r="C49" s="156">
        <f>'C. diff CFUs'!C61</f>
        <v>43628</v>
      </c>
      <c r="D49" s="17" t="str">
        <f>Inventory!O9</f>
        <v>l_4_R</v>
      </c>
      <c r="E49" s="128" t="s">
        <v>40</v>
      </c>
      <c r="F49" s="125">
        <v>0.98870000000000002</v>
      </c>
      <c r="G49" s="152">
        <v>1.0124</v>
      </c>
    </row>
    <row r="50" spans="1:7" x14ac:dyDescent="0.2">
      <c r="A50" s="129" t="s">
        <v>70</v>
      </c>
      <c r="B50" s="130">
        <v>6</v>
      </c>
      <c r="C50" s="156">
        <f>'C. diff CFUs'!C62</f>
        <v>43629</v>
      </c>
      <c r="D50" s="17" t="str">
        <f>Inventory!O2</f>
        <v>nt_4_0</v>
      </c>
      <c r="E50" s="130" t="s">
        <v>39</v>
      </c>
      <c r="F50" s="132"/>
      <c r="G50" s="144"/>
    </row>
    <row r="51" spans="1:7" x14ac:dyDescent="0.2">
      <c r="A51" s="134" t="s">
        <v>70</v>
      </c>
      <c r="B51" s="58">
        <v>6</v>
      </c>
      <c r="C51" s="156">
        <f>'C. diff CFUs'!C63</f>
        <v>43629</v>
      </c>
      <c r="D51" s="17" t="str">
        <f>Inventory!O3</f>
        <v>nt_4_R</v>
      </c>
      <c r="E51" s="58" t="s">
        <v>40</v>
      </c>
      <c r="F51" s="13"/>
      <c r="G51" s="145"/>
    </row>
    <row r="52" spans="1:7" x14ac:dyDescent="0.2">
      <c r="A52" s="136" t="s">
        <v>27</v>
      </c>
      <c r="B52" s="70">
        <v>6</v>
      </c>
      <c r="C52" s="156">
        <f>'C. diff CFUs'!C64</f>
        <v>43629</v>
      </c>
      <c r="D52" s="17" t="str">
        <f>Inventory!O4</f>
        <v>f_4_0</v>
      </c>
      <c r="E52" s="72" t="s">
        <v>39</v>
      </c>
      <c r="F52" s="43"/>
      <c r="G52" s="146"/>
    </row>
    <row r="53" spans="1:7" x14ac:dyDescent="0.2">
      <c r="A53" s="136" t="s">
        <v>27</v>
      </c>
      <c r="B53" s="70">
        <v>6</v>
      </c>
      <c r="C53" s="156">
        <f>'C. diff CFUs'!C65</f>
        <v>43629</v>
      </c>
      <c r="D53" s="17" t="str">
        <f>Inventory!O5</f>
        <v>f_4_R</v>
      </c>
      <c r="E53" s="72" t="s">
        <v>40</v>
      </c>
      <c r="F53" s="43"/>
      <c r="G53" s="146"/>
    </row>
    <row r="54" spans="1:7" x14ac:dyDescent="0.2">
      <c r="A54" s="134" t="s">
        <v>73</v>
      </c>
      <c r="B54" s="58">
        <v>6</v>
      </c>
      <c r="C54" s="156">
        <f>'C. diff CFUs'!C66</f>
        <v>43629</v>
      </c>
      <c r="D54" s="17" t="str">
        <f>Inventory!O6</f>
        <v>m_4_0</v>
      </c>
      <c r="E54" s="58" t="s">
        <v>39</v>
      </c>
      <c r="F54" s="13"/>
      <c r="G54" s="145"/>
    </row>
    <row r="55" spans="1:7" x14ac:dyDescent="0.2">
      <c r="A55" s="134" t="s">
        <v>73</v>
      </c>
      <c r="B55" s="58">
        <v>6</v>
      </c>
      <c r="C55" s="156">
        <f>'C. diff CFUs'!C67</f>
        <v>43629</v>
      </c>
      <c r="D55" s="17" t="str">
        <f>Inventory!O7</f>
        <v>m_4_R</v>
      </c>
      <c r="E55" s="58" t="s">
        <v>40</v>
      </c>
      <c r="F55" s="13"/>
      <c r="G55" s="145"/>
    </row>
    <row r="56" spans="1:7" x14ac:dyDescent="0.2">
      <c r="A56" s="136" t="s">
        <v>7</v>
      </c>
      <c r="B56" s="70">
        <v>6</v>
      </c>
      <c r="C56" s="156">
        <f>'C. diff CFUs'!C68</f>
        <v>43629</v>
      </c>
      <c r="D56" s="17" t="str">
        <f>Inventory!O8</f>
        <v>l_4_0</v>
      </c>
      <c r="E56" s="72" t="s">
        <v>39</v>
      </c>
      <c r="F56" s="43"/>
      <c r="G56" s="146"/>
    </row>
    <row r="57" spans="1:7" ht="17" thickBot="1" x14ac:dyDescent="0.25">
      <c r="A57" s="139" t="s">
        <v>7</v>
      </c>
      <c r="B57" s="82">
        <v>6</v>
      </c>
      <c r="C57" s="156">
        <f>'C. diff CFUs'!C69</f>
        <v>43629</v>
      </c>
      <c r="D57" s="17" t="str">
        <f>Inventory!O9</f>
        <v>l_4_R</v>
      </c>
      <c r="E57" s="84" t="s">
        <v>40</v>
      </c>
      <c r="F57" s="141"/>
      <c r="G57" s="147"/>
    </row>
    <row r="58" spans="1:7" x14ac:dyDescent="0.2">
      <c r="A58" s="134" t="s">
        <v>70</v>
      </c>
      <c r="B58" s="58">
        <v>7</v>
      </c>
      <c r="C58" s="156">
        <f>'C. diff CFUs'!C70</f>
        <v>43630</v>
      </c>
      <c r="D58" s="17" t="str">
        <f>Inventory!O2</f>
        <v>nt_4_0</v>
      </c>
      <c r="E58" s="58" t="s">
        <v>39</v>
      </c>
      <c r="F58" s="143"/>
      <c r="G58" s="150"/>
    </row>
    <row r="59" spans="1:7" x14ac:dyDescent="0.2">
      <c r="A59" s="134" t="s">
        <v>70</v>
      </c>
      <c r="B59" s="58">
        <v>7</v>
      </c>
      <c r="C59" s="156">
        <f>'C. diff CFUs'!C71</f>
        <v>43630</v>
      </c>
      <c r="D59" s="17" t="str">
        <f>Inventory!O3</f>
        <v>nt_4_R</v>
      </c>
      <c r="E59" s="58" t="s">
        <v>40</v>
      </c>
      <c r="F59" s="13"/>
      <c r="G59" s="135"/>
    </row>
    <row r="60" spans="1:7" x14ac:dyDescent="0.2">
      <c r="A60" s="136" t="s">
        <v>27</v>
      </c>
      <c r="B60" s="70">
        <v>7</v>
      </c>
      <c r="C60" s="156">
        <f>'C. diff CFUs'!C72</f>
        <v>43630</v>
      </c>
      <c r="D60" s="17" t="str">
        <f>Inventory!O4</f>
        <v>f_4_0</v>
      </c>
      <c r="E60" s="72" t="s">
        <v>39</v>
      </c>
      <c r="F60" s="43"/>
      <c r="G60" s="137"/>
    </row>
    <row r="61" spans="1:7" x14ac:dyDescent="0.2">
      <c r="A61" s="136" t="s">
        <v>27</v>
      </c>
      <c r="B61" s="70">
        <v>7</v>
      </c>
      <c r="C61" s="156">
        <f>'C. diff CFUs'!C73</f>
        <v>43630</v>
      </c>
      <c r="D61" s="17" t="str">
        <f>Inventory!O5</f>
        <v>f_4_R</v>
      </c>
      <c r="E61" s="72" t="s">
        <v>40</v>
      </c>
      <c r="F61" s="43"/>
      <c r="G61" s="137"/>
    </row>
    <row r="62" spans="1:7" x14ac:dyDescent="0.2">
      <c r="A62" s="134" t="s">
        <v>73</v>
      </c>
      <c r="B62" s="58">
        <v>7</v>
      </c>
      <c r="C62" s="156">
        <f>'C. diff CFUs'!C74</f>
        <v>43630</v>
      </c>
      <c r="D62" s="17" t="str">
        <f>Inventory!O6</f>
        <v>m_4_0</v>
      </c>
      <c r="E62" s="58" t="s">
        <v>39</v>
      </c>
      <c r="F62" s="44"/>
      <c r="G62" s="138"/>
    </row>
    <row r="63" spans="1:7" x14ac:dyDescent="0.2">
      <c r="A63" s="134" t="s">
        <v>73</v>
      </c>
      <c r="B63" s="58">
        <v>7</v>
      </c>
      <c r="C63" s="156">
        <f>'C. diff CFUs'!C75</f>
        <v>43630</v>
      </c>
      <c r="D63" s="17" t="str">
        <f>Inventory!O7</f>
        <v>m_4_R</v>
      </c>
      <c r="E63" s="58" t="s">
        <v>40</v>
      </c>
      <c r="F63" s="44"/>
      <c r="G63" s="138"/>
    </row>
    <row r="64" spans="1:7" x14ac:dyDescent="0.2">
      <c r="A64" s="136" t="s">
        <v>7</v>
      </c>
      <c r="B64" s="70">
        <v>7</v>
      </c>
      <c r="C64" s="156">
        <f>'C. diff CFUs'!C76</f>
        <v>43630</v>
      </c>
      <c r="D64" s="17" t="str">
        <f>Inventory!O8</f>
        <v>l_4_0</v>
      </c>
      <c r="E64" s="72" t="s">
        <v>39</v>
      </c>
      <c r="F64" s="43"/>
      <c r="G64" s="137"/>
    </row>
    <row r="65" spans="1:7" ht="17" thickBot="1" x14ac:dyDescent="0.25">
      <c r="A65" s="151" t="s">
        <v>7</v>
      </c>
      <c r="B65" s="126">
        <v>7</v>
      </c>
      <c r="C65" s="156">
        <f>'C. diff CFUs'!C77</f>
        <v>43630</v>
      </c>
      <c r="D65" s="17" t="str">
        <f>Inventory!O9</f>
        <v>l_4_R</v>
      </c>
      <c r="E65" s="128" t="s">
        <v>40</v>
      </c>
      <c r="F65" s="125"/>
      <c r="G65" s="152"/>
    </row>
    <row r="66" spans="1:7" x14ac:dyDescent="0.2">
      <c r="A66" s="129" t="s">
        <v>70</v>
      </c>
      <c r="B66" s="130">
        <v>8</v>
      </c>
      <c r="C66" s="156">
        <f>'C. diff CFUs'!C78</f>
        <v>43631</v>
      </c>
      <c r="D66" s="17" t="str">
        <f>Inventory!O2</f>
        <v>nt_4_0</v>
      </c>
      <c r="E66" s="130" t="s">
        <v>39</v>
      </c>
      <c r="F66" s="132"/>
      <c r="G66" s="133"/>
    </row>
    <row r="67" spans="1:7" x14ac:dyDescent="0.2">
      <c r="A67" s="134" t="s">
        <v>70</v>
      </c>
      <c r="B67" s="58">
        <v>8</v>
      </c>
      <c r="C67" s="156">
        <f>'C. diff CFUs'!C79</f>
        <v>43631</v>
      </c>
      <c r="D67" s="17" t="str">
        <f>Inventory!O3</f>
        <v>nt_4_R</v>
      </c>
      <c r="E67" s="58" t="s">
        <v>40</v>
      </c>
      <c r="F67" s="13"/>
      <c r="G67" s="135"/>
    </row>
    <row r="68" spans="1:7" x14ac:dyDescent="0.2">
      <c r="A68" s="136" t="s">
        <v>27</v>
      </c>
      <c r="B68" s="70">
        <v>8</v>
      </c>
      <c r="C68" s="156">
        <f>'C. diff CFUs'!C80</f>
        <v>43631</v>
      </c>
      <c r="D68" s="17" t="str">
        <f>Inventory!O4</f>
        <v>f_4_0</v>
      </c>
      <c r="E68" s="72" t="s">
        <v>39</v>
      </c>
      <c r="F68" s="43"/>
      <c r="G68" s="137"/>
    </row>
    <row r="69" spans="1:7" x14ac:dyDescent="0.2">
      <c r="A69" s="136" t="s">
        <v>27</v>
      </c>
      <c r="B69" s="70">
        <v>8</v>
      </c>
      <c r="C69" s="156">
        <f>'C. diff CFUs'!C81</f>
        <v>43631</v>
      </c>
      <c r="D69" s="17" t="str">
        <f>Inventory!O5</f>
        <v>f_4_R</v>
      </c>
      <c r="E69" s="72" t="s">
        <v>40</v>
      </c>
      <c r="F69" s="43"/>
      <c r="G69" s="137"/>
    </row>
    <row r="70" spans="1:7" x14ac:dyDescent="0.2">
      <c r="A70" s="134" t="s">
        <v>73</v>
      </c>
      <c r="B70" s="58">
        <v>8</v>
      </c>
      <c r="C70" s="156">
        <f>'C. diff CFUs'!C82</f>
        <v>43631</v>
      </c>
      <c r="D70" s="17" t="str">
        <f>Inventory!O6</f>
        <v>m_4_0</v>
      </c>
      <c r="E70" s="58" t="s">
        <v>39</v>
      </c>
      <c r="F70" s="44"/>
      <c r="G70" s="138"/>
    </row>
    <row r="71" spans="1:7" x14ac:dyDescent="0.2">
      <c r="A71" s="134" t="s">
        <v>73</v>
      </c>
      <c r="B71" s="58">
        <v>8</v>
      </c>
      <c r="C71" s="156">
        <f>'C. diff CFUs'!C83</f>
        <v>43631</v>
      </c>
      <c r="D71" s="17" t="str">
        <f>Inventory!O7</f>
        <v>m_4_R</v>
      </c>
      <c r="E71" s="58" t="s">
        <v>40</v>
      </c>
      <c r="F71" s="44"/>
      <c r="G71" s="138"/>
    </row>
    <row r="72" spans="1:7" x14ac:dyDescent="0.2">
      <c r="A72" s="136" t="s">
        <v>7</v>
      </c>
      <c r="B72" s="70">
        <v>8</v>
      </c>
      <c r="C72" s="156">
        <f>'C. diff CFUs'!C84</f>
        <v>43631</v>
      </c>
      <c r="D72" s="17" t="str">
        <f>Inventory!O8</f>
        <v>l_4_0</v>
      </c>
      <c r="E72" s="72" t="s">
        <v>39</v>
      </c>
      <c r="F72" s="43"/>
      <c r="G72" s="137"/>
    </row>
    <row r="73" spans="1:7" ht="17" thickBot="1" x14ac:dyDescent="0.25">
      <c r="A73" s="139" t="s">
        <v>7</v>
      </c>
      <c r="B73" s="82">
        <v>8</v>
      </c>
      <c r="C73" s="156">
        <f>'C. diff CFUs'!C85</f>
        <v>43631</v>
      </c>
      <c r="D73" s="17" t="str">
        <f>Inventory!O9</f>
        <v>l_4_R</v>
      </c>
      <c r="E73" s="84" t="s">
        <v>40</v>
      </c>
      <c r="F73" s="141"/>
      <c r="G73" s="142"/>
    </row>
    <row r="74" spans="1:7" x14ac:dyDescent="0.2">
      <c r="A74" s="134" t="s">
        <v>70</v>
      </c>
      <c r="B74" s="58">
        <v>9</v>
      </c>
      <c r="C74" s="156">
        <f>'C. diff CFUs'!C86</f>
        <v>43632</v>
      </c>
      <c r="D74" s="17" t="str">
        <f>Inventory!O2</f>
        <v>nt_4_0</v>
      </c>
      <c r="E74" s="58" t="s">
        <v>39</v>
      </c>
      <c r="F74" s="143"/>
      <c r="G74" s="150"/>
    </row>
    <row r="75" spans="1:7" x14ac:dyDescent="0.2">
      <c r="A75" s="134" t="s">
        <v>70</v>
      </c>
      <c r="B75" s="58">
        <v>9</v>
      </c>
      <c r="C75" s="156">
        <f>'C. diff CFUs'!C87</f>
        <v>43632</v>
      </c>
      <c r="D75" s="17" t="str">
        <f>Inventory!O3</f>
        <v>nt_4_R</v>
      </c>
      <c r="E75" s="58" t="s">
        <v>40</v>
      </c>
      <c r="F75" s="13"/>
      <c r="G75" s="135"/>
    </row>
    <row r="76" spans="1:7" x14ac:dyDescent="0.2">
      <c r="A76" s="136" t="s">
        <v>27</v>
      </c>
      <c r="B76" s="70">
        <v>9</v>
      </c>
      <c r="C76" s="156">
        <f>'C. diff CFUs'!C88</f>
        <v>43632</v>
      </c>
      <c r="D76" s="17" t="str">
        <f>Inventory!O4</f>
        <v>f_4_0</v>
      </c>
      <c r="E76" s="72" t="s">
        <v>39</v>
      </c>
      <c r="F76" s="43"/>
      <c r="G76" s="137"/>
    </row>
    <row r="77" spans="1:7" x14ac:dyDescent="0.2">
      <c r="A77" s="136" t="s">
        <v>27</v>
      </c>
      <c r="B77" s="70">
        <v>9</v>
      </c>
      <c r="C77" s="156">
        <f>'C. diff CFUs'!C89</f>
        <v>43632</v>
      </c>
      <c r="D77" s="17" t="str">
        <f>Inventory!O5</f>
        <v>f_4_R</v>
      </c>
      <c r="E77" s="72" t="s">
        <v>40</v>
      </c>
      <c r="F77" s="43"/>
      <c r="G77" s="137"/>
    </row>
    <row r="78" spans="1:7" x14ac:dyDescent="0.2">
      <c r="A78" s="134" t="s">
        <v>73</v>
      </c>
      <c r="B78" s="58">
        <v>9</v>
      </c>
      <c r="C78" s="156">
        <f>'C. diff CFUs'!C90</f>
        <v>43632</v>
      </c>
      <c r="D78" s="17" t="str">
        <f>Inventory!O6</f>
        <v>m_4_0</v>
      </c>
      <c r="E78" s="58" t="s">
        <v>39</v>
      </c>
      <c r="F78" s="44"/>
      <c r="G78" s="138"/>
    </row>
    <row r="79" spans="1:7" x14ac:dyDescent="0.2">
      <c r="A79" s="134" t="s">
        <v>73</v>
      </c>
      <c r="B79" s="58">
        <v>9</v>
      </c>
      <c r="C79" s="156">
        <f>'C. diff CFUs'!C91</f>
        <v>43632</v>
      </c>
      <c r="D79" s="17" t="str">
        <f>Inventory!O7</f>
        <v>m_4_R</v>
      </c>
      <c r="E79" s="58" t="s">
        <v>40</v>
      </c>
      <c r="F79" s="44"/>
      <c r="G79" s="138"/>
    </row>
    <row r="80" spans="1:7" x14ac:dyDescent="0.2">
      <c r="A80" s="136" t="s">
        <v>7</v>
      </c>
      <c r="B80" s="70">
        <v>9</v>
      </c>
      <c r="C80" s="156">
        <f>'C. diff CFUs'!C92</f>
        <v>43632</v>
      </c>
      <c r="D80" s="17" t="str">
        <f>Inventory!O8</f>
        <v>l_4_0</v>
      </c>
      <c r="E80" s="72" t="s">
        <v>39</v>
      </c>
      <c r="F80" s="43"/>
      <c r="G80" s="137"/>
    </row>
    <row r="81" spans="1:7" ht="17" thickBot="1" x14ac:dyDescent="0.25">
      <c r="A81" s="151" t="s">
        <v>7</v>
      </c>
      <c r="B81" s="126">
        <v>9</v>
      </c>
      <c r="C81" s="156">
        <f>'C. diff CFUs'!C93</f>
        <v>43632</v>
      </c>
      <c r="D81" s="17" t="str">
        <f>Inventory!O9</f>
        <v>l_4_R</v>
      </c>
      <c r="E81" s="128" t="s">
        <v>40</v>
      </c>
      <c r="F81" s="125"/>
      <c r="G81" s="152"/>
    </row>
    <row r="82" spans="1:7" x14ac:dyDescent="0.2">
      <c r="A82" s="129" t="s">
        <v>70</v>
      </c>
      <c r="B82" s="130">
        <v>10</v>
      </c>
      <c r="C82" s="156">
        <f>'C. diff CFUs'!C94</f>
        <v>43633</v>
      </c>
      <c r="D82" s="17" t="str">
        <f>Inventory!O2</f>
        <v>nt_4_0</v>
      </c>
      <c r="E82" s="130" t="s">
        <v>39</v>
      </c>
      <c r="F82" s="132"/>
      <c r="G82" s="133"/>
    </row>
    <row r="83" spans="1:7" x14ac:dyDescent="0.2">
      <c r="A83" s="134" t="s">
        <v>70</v>
      </c>
      <c r="B83" s="58">
        <v>10</v>
      </c>
      <c r="C83" s="156">
        <f>'C. diff CFUs'!C95</f>
        <v>43633</v>
      </c>
      <c r="D83" s="17" t="str">
        <f>Inventory!O3</f>
        <v>nt_4_R</v>
      </c>
      <c r="E83" s="58" t="s">
        <v>40</v>
      </c>
      <c r="F83" s="13"/>
      <c r="G83" s="135"/>
    </row>
    <row r="84" spans="1:7" x14ac:dyDescent="0.2">
      <c r="A84" s="136" t="s">
        <v>27</v>
      </c>
      <c r="B84" s="70">
        <v>10</v>
      </c>
      <c r="C84" s="156">
        <f>'C. diff CFUs'!C96</f>
        <v>43633</v>
      </c>
      <c r="D84" s="17" t="str">
        <f>Inventory!O4</f>
        <v>f_4_0</v>
      </c>
      <c r="E84" s="72" t="s">
        <v>39</v>
      </c>
      <c r="F84" s="43"/>
      <c r="G84" s="137"/>
    </row>
    <row r="85" spans="1:7" x14ac:dyDescent="0.2">
      <c r="A85" s="136" t="s">
        <v>27</v>
      </c>
      <c r="B85" s="70">
        <v>10</v>
      </c>
      <c r="C85" s="156">
        <f>'C. diff CFUs'!C97</f>
        <v>43633</v>
      </c>
      <c r="D85" s="17" t="str">
        <f>Inventory!O5</f>
        <v>f_4_R</v>
      </c>
      <c r="E85" s="72" t="s">
        <v>40</v>
      </c>
      <c r="F85" s="43"/>
      <c r="G85" s="137"/>
    </row>
    <row r="86" spans="1:7" x14ac:dyDescent="0.2">
      <c r="A86" s="134" t="s">
        <v>73</v>
      </c>
      <c r="B86" s="58">
        <v>10</v>
      </c>
      <c r="C86" s="156">
        <f>'C. diff CFUs'!C98</f>
        <v>43633</v>
      </c>
      <c r="D86" s="17" t="str">
        <f>Inventory!O6</f>
        <v>m_4_0</v>
      </c>
      <c r="E86" s="58" t="s">
        <v>39</v>
      </c>
      <c r="F86" s="44"/>
      <c r="G86" s="138"/>
    </row>
    <row r="87" spans="1:7" x14ac:dyDescent="0.2">
      <c r="A87" s="134" t="s">
        <v>73</v>
      </c>
      <c r="B87" s="58">
        <v>10</v>
      </c>
      <c r="C87" s="156">
        <f>'C. diff CFUs'!C99</f>
        <v>43633</v>
      </c>
      <c r="D87" s="17" t="str">
        <f>Inventory!O7</f>
        <v>m_4_R</v>
      </c>
      <c r="E87" s="58" t="s">
        <v>40</v>
      </c>
      <c r="F87" s="44"/>
      <c r="G87" s="138"/>
    </row>
    <row r="88" spans="1:7" x14ac:dyDescent="0.2">
      <c r="A88" s="136" t="s">
        <v>7</v>
      </c>
      <c r="B88" s="70">
        <v>10</v>
      </c>
      <c r="C88" s="156">
        <f>'C. diff CFUs'!C100</f>
        <v>43633</v>
      </c>
      <c r="D88" s="17" t="str">
        <f>Inventory!O8</f>
        <v>l_4_0</v>
      </c>
      <c r="E88" s="72" t="s">
        <v>39</v>
      </c>
      <c r="F88" s="43"/>
      <c r="G88" s="137"/>
    </row>
    <row r="89" spans="1:7" ht="17" thickBot="1" x14ac:dyDescent="0.25">
      <c r="A89" s="139" t="s">
        <v>7</v>
      </c>
      <c r="B89" s="82">
        <v>10</v>
      </c>
      <c r="C89" s="156">
        <f>'C. diff CFUs'!C101</f>
        <v>43633</v>
      </c>
      <c r="D89" s="17" t="str">
        <f>Inventory!O9</f>
        <v>l_4_R</v>
      </c>
      <c r="E89" s="84" t="s">
        <v>40</v>
      </c>
      <c r="F89" s="141"/>
      <c r="G89" s="142"/>
    </row>
    <row r="90" spans="1:7" x14ac:dyDescent="0.2">
      <c r="F90" s="46"/>
      <c r="G90" s="46"/>
    </row>
    <row r="91" spans="1:7" x14ac:dyDescent="0.2">
      <c r="F91" s="46"/>
      <c r="G91" s="46"/>
    </row>
    <row r="92" spans="1:7" x14ac:dyDescent="0.2">
      <c r="F92" s="46"/>
      <c r="G92" s="46"/>
    </row>
    <row r="93" spans="1:7" x14ac:dyDescent="0.2">
      <c r="F93" s="46"/>
      <c r="G93" s="46"/>
    </row>
    <row r="94" spans="1:7" x14ac:dyDescent="0.2">
      <c r="F94" s="46"/>
      <c r="G94" s="46"/>
    </row>
    <row r="95" spans="1:7" x14ac:dyDescent="0.2">
      <c r="F95" s="46"/>
      <c r="G95" s="46"/>
    </row>
    <row r="96" spans="1:7" x14ac:dyDescent="0.2">
      <c r="F96" s="46"/>
      <c r="G96" s="46"/>
    </row>
    <row r="97" spans="6:7" x14ac:dyDescent="0.2">
      <c r="F97" s="46"/>
      <c r="G97" s="46"/>
    </row>
    <row r="98" spans="6:7" x14ac:dyDescent="0.2">
      <c r="F98" s="46"/>
      <c r="G98" s="46"/>
    </row>
    <row r="99" spans="6:7" x14ac:dyDescent="0.2">
      <c r="F99" s="46"/>
      <c r="G99" s="46"/>
    </row>
    <row r="100" spans="6:7" x14ac:dyDescent="0.2">
      <c r="F100" s="46"/>
      <c r="G100" s="46"/>
    </row>
    <row r="101" spans="6:7" x14ac:dyDescent="0.2">
      <c r="F101" s="46"/>
      <c r="G101" s="46"/>
    </row>
    <row r="102" spans="6:7" x14ac:dyDescent="0.2">
      <c r="F102" s="46"/>
      <c r="G102" s="46"/>
    </row>
    <row r="103" spans="6:7" x14ac:dyDescent="0.2">
      <c r="F103" s="46"/>
      <c r="G103" s="46"/>
    </row>
  </sheetData>
  <pageMargins left="0.7" right="0.7" top="0.75" bottom="0.75" header="0.3" footer="0.3"/>
  <pageSetup scale="5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7CFDB-3796-DD4D-B740-52005E823042}">
  <sheetPr>
    <pageSetUpPr fitToPage="1"/>
  </sheetPr>
  <dimension ref="A1:P30"/>
  <sheetViews>
    <sheetView workbookViewId="0">
      <selection activeCell="E30" sqref="E30"/>
    </sheetView>
  </sheetViews>
  <sheetFormatPr baseColWidth="10" defaultRowHeight="16" x14ac:dyDescent="0.2"/>
  <sheetData>
    <row r="1" spans="1:16" x14ac:dyDescent="0.2">
      <c r="A1" t="s">
        <v>173</v>
      </c>
      <c r="L1" t="s">
        <v>90</v>
      </c>
    </row>
    <row r="2" spans="1:16" x14ac:dyDescent="0.2">
      <c r="A2" s="32" t="s">
        <v>89</v>
      </c>
      <c r="L2" t="s">
        <v>91</v>
      </c>
      <c r="M2">
        <v>7000000</v>
      </c>
      <c r="O2" t="s">
        <v>93</v>
      </c>
      <c r="P2">
        <v>210000</v>
      </c>
    </row>
    <row r="3" spans="1:16" x14ac:dyDescent="0.2">
      <c r="A3" s="32"/>
      <c r="B3" t="s">
        <v>134</v>
      </c>
      <c r="C3" t="s">
        <v>135</v>
      </c>
      <c r="D3" t="s">
        <v>136</v>
      </c>
    </row>
    <row r="4" spans="1:16" x14ac:dyDescent="0.2">
      <c r="B4">
        <v>1000</v>
      </c>
      <c r="C4">
        <v>970</v>
      </c>
      <c r="D4">
        <v>30</v>
      </c>
      <c r="L4" t="s">
        <v>92</v>
      </c>
      <c r="M4">
        <v>30</v>
      </c>
      <c r="N4" t="s">
        <v>94</v>
      </c>
    </row>
    <row r="5" spans="1:16" x14ac:dyDescent="0.2">
      <c r="A5" t="s">
        <v>50</v>
      </c>
    </row>
    <row r="6" spans="1:16" ht="19" x14ac:dyDescent="0.2">
      <c r="A6" t="s">
        <v>131</v>
      </c>
    </row>
    <row r="8" spans="1:16" x14ac:dyDescent="0.2">
      <c r="A8" t="s">
        <v>118</v>
      </c>
    </row>
    <row r="9" spans="1:16" ht="19" x14ac:dyDescent="0.2">
      <c r="B9" t="s">
        <v>51</v>
      </c>
      <c r="C9" s="33" t="s">
        <v>52</v>
      </c>
      <c r="D9" s="33" t="s">
        <v>53</v>
      </c>
      <c r="E9" s="33" t="s">
        <v>54</v>
      </c>
      <c r="F9" s="33" t="s">
        <v>55</v>
      </c>
    </row>
    <row r="10" spans="1:16" x14ac:dyDescent="0.2">
      <c r="A10" t="s">
        <v>132</v>
      </c>
      <c r="B10" s="113">
        <v>1</v>
      </c>
      <c r="C10">
        <f>10^-1</f>
        <v>0.1</v>
      </c>
      <c r="D10">
        <f>10^-2</f>
        <v>0.01</v>
      </c>
      <c r="E10">
        <f>10^-3</f>
        <v>1E-3</v>
      </c>
      <c r="F10">
        <f>10^-4</f>
        <v>1E-4</v>
      </c>
    </row>
    <row r="11" spans="1:16" x14ac:dyDescent="0.2">
      <c r="A11" s="114" t="s">
        <v>133</v>
      </c>
      <c r="B11" s="113">
        <v>0</v>
      </c>
      <c r="C11" s="113">
        <v>50</v>
      </c>
      <c r="D11" s="113">
        <v>50</v>
      </c>
      <c r="E11" s="113">
        <v>50</v>
      </c>
      <c r="F11" s="113">
        <v>50</v>
      </c>
      <c r="G11" s="115">
        <v>43622</v>
      </c>
    </row>
    <row r="12" spans="1:16" x14ac:dyDescent="0.2">
      <c r="A12" t="s">
        <v>56</v>
      </c>
      <c r="B12" s="13" t="s">
        <v>96</v>
      </c>
      <c r="C12" s="13" t="s">
        <v>191</v>
      </c>
      <c r="D12" s="13">
        <v>193</v>
      </c>
      <c r="E12" s="13">
        <v>16</v>
      </c>
      <c r="F12" s="13">
        <v>3</v>
      </c>
      <c r="G12" s="115"/>
    </row>
    <row r="13" spans="1:16" x14ac:dyDescent="0.2">
      <c r="A13" t="s">
        <v>57</v>
      </c>
    </row>
    <row r="15" spans="1:16" x14ac:dyDescent="0.2">
      <c r="A15" s="22" t="s">
        <v>58</v>
      </c>
    </row>
    <row r="16" spans="1:16" x14ac:dyDescent="0.2">
      <c r="A16" s="34" t="s">
        <v>59</v>
      </c>
    </row>
    <row r="17" spans="1:5" x14ac:dyDescent="0.2">
      <c r="A17" s="35">
        <f>((1/(D4/B4))*(1/D10)*(1/(D11/1000))*D12)</f>
        <v>12866666.666666668</v>
      </c>
      <c r="B17" s="35">
        <f>((1/(D4/B4))*(1/E10)*(1/(E11/1000))*E12)</f>
        <v>10666666.666666668</v>
      </c>
      <c r="C17" s="35">
        <f>((1/(D4/B4))*(1/F10)*(1/(F11/1000))*F12)</f>
        <v>20000000.000000004</v>
      </c>
      <c r="D17" s="35"/>
    </row>
    <row r="18" spans="1:5" x14ac:dyDescent="0.2">
      <c r="A18" s="22" t="s">
        <v>60</v>
      </c>
    </row>
    <row r="19" spans="1:5" x14ac:dyDescent="0.2">
      <c r="A19" s="34" t="s">
        <v>61</v>
      </c>
    </row>
    <row r="20" spans="1:5" x14ac:dyDescent="0.2">
      <c r="A20" s="35">
        <f xml:space="preserve"> (1/D10) * (1/(D11/1000)) * D12</f>
        <v>386000</v>
      </c>
      <c r="B20" s="35">
        <f t="shared" ref="B20:C20" si="0" xml:space="preserve"> (1/E10) * (1/(E11/1000)) * E12</f>
        <v>320000</v>
      </c>
      <c r="C20" s="35">
        <f t="shared" si="0"/>
        <v>600000</v>
      </c>
      <c r="D20" s="35"/>
    </row>
    <row r="21" spans="1:5" x14ac:dyDescent="0.2">
      <c r="A21" t="s">
        <v>162</v>
      </c>
      <c r="B21" s="35">
        <f>AVERAGE(A20:C20)</f>
        <v>435333.33333333331</v>
      </c>
      <c r="C21" t="s">
        <v>95</v>
      </c>
      <c r="D21" s="35">
        <f>(25/1000)*B21</f>
        <v>10883.333333333334</v>
      </c>
    </row>
    <row r="23" spans="1:5" x14ac:dyDescent="0.2">
      <c r="A23" t="s">
        <v>163</v>
      </c>
    </row>
    <row r="25" spans="1:5" x14ac:dyDescent="0.2">
      <c r="A25" t="s">
        <v>164</v>
      </c>
    </row>
    <row r="26" spans="1:5" ht="19" x14ac:dyDescent="0.2">
      <c r="C26" s="33" t="s">
        <v>67</v>
      </c>
      <c r="D26" s="33" t="s">
        <v>53</v>
      </c>
      <c r="E26" s="33" t="s">
        <v>54</v>
      </c>
    </row>
    <row r="27" spans="1:5" x14ac:dyDescent="0.2">
      <c r="B27" t="s">
        <v>132</v>
      </c>
      <c r="C27" s="113">
        <f>10^-1</f>
        <v>0.1</v>
      </c>
      <c r="D27" s="113">
        <f>10^-2</f>
        <v>0.01</v>
      </c>
      <c r="E27" s="113">
        <f>10^-3</f>
        <v>1E-3</v>
      </c>
    </row>
    <row r="28" spans="1:5" x14ac:dyDescent="0.2">
      <c r="C28" s="113">
        <v>50</v>
      </c>
      <c r="D28" s="113">
        <v>50</v>
      </c>
      <c r="E28" s="113">
        <v>50</v>
      </c>
    </row>
    <row r="29" spans="1:5" x14ac:dyDescent="0.2">
      <c r="C29" s="13" t="s">
        <v>191</v>
      </c>
      <c r="D29" s="13">
        <v>118</v>
      </c>
      <c r="E29" s="13">
        <v>37</v>
      </c>
    </row>
    <row r="30" spans="1:5" x14ac:dyDescent="0.2">
      <c r="C30" s="35" t="e">
        <f xml:space="preserve"> (1/C27) * (1/(C28/1000)) * C29</f>
        <v>#VALUE!</v>
      </c>
      <c r="D30" s="35">
        <f xml:space="preserve"> (1/D27) * (1/(D28/1000)) * D29</f>
        <v>236000</v>
      </c>
      <c r="E30" s="35">
        <f xml:space="preserve"> (1/E27) * (1/(E28/1000)) * E29</f>
        <v>740000</v>
      </c>
    </row>
  </sheetData>
  <pageMargins left="0.7" right="0.7" top="0.75" bottom="0.75" header="0.3" footer="0.3"/>
  <pageSetup scale="66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C063-567F-134D-A42D-1EFC314E356C}">
  <sheetPr>
    <pageSetUpPr fitToPage="1"/>
  </sheetPr>
  <dimension ref="A1:Z121"/>
  <sheetViews>
    <sheetView workbookViewId="0">
      <pane ySplit="1" topLeftCell="A5" activePane="bottomLeft" state="frozen"/>
      <selection pane="bottomLeft" activeCell="Z32" sqref="Z32"/>
    </sheetView>
  </sheetViews>
  <sheetFormatPr baseColWidth="10" defaultRowHeight="16" x14ac:dyDescent="0.2"/>
  <cols>
    <col min="1" max="16384" width="10.83203125" style="46"/>
  </cols>
  <sheetData>
    <row r="1" spans="1:25" customFormat="1" ht="140" thickBot="1" x14ac:dyDescent="0.25">
      <c r="A1" s="91" t="s">
        <v>30</v>
      </c>
      <c r="B1" s="55" t="s">
        <v>62</v>
      </c>
      <c r="C1" s="55" t="s">
        <v>63</v>
      </c>
      <c r="D1" s="92" t="s">
        <v>31</v>
      </c>
      <c r="E1" s="92" t="s">
        <v>24</v>
      </c>
      <c r="F1" s="55" t="s">
        <v>49</v>
      </c>
      <c r="G1" s="55" t="s">
        <v>48</v>
      </c>
      <c r="H1" s="55" t="s">
        <v>64</v>
      </c>
      <c r="I1" s="55" t="s">
        <v>97</v>
      </c>
      <c r="J1" s="55" t="s">
        <v>98</v>
      </c>
      <c r="K1" s="55" t="s">
        <v>99</v>
      </c>
      <c r="L1" s="55" t="s">
        <v>100</v>
      </c>
      <c r="M1" s="55" t="s">
        <v>101</v>
      </c>
      <c r="N1" s="55" t="s">
        <v>102</v>
      </c>
      <c r="O1" s="55" t="s">
        <v>103</v>
      </c>
      <c r="P1" s="55" t="s">
        <v>65</v>
      </c>
      <c r="Q1" s="55" t="s">
        <v>66</v>
      </c>
      <c r="R1" s="55" t="s">
        <v>111</v>
      </c>
      <c r="S1" s="55" t="s">
        <v>112</v>
      </c>
      <c r="T1" s="55" t="s">
        <v>113</v>
      </c>
      <c r="U1" s="55" t="s">
        <v>114</v>
      </c>
      <c r="V1" s="55" t="s">
        <v>115</v>
      </c>
      <c r="W1" s="55" t="s">
        <v>116</v>
      </c>
      <c r="X1" s="55" t="s">
        <v>3</v>
      </c>
      <c r="Y1" s="56" t="s">
        <v>68</v>
      </c>
    </row>
    <row r="2" spans="1:25" customFormat="1" ht="17" thickBot="1" x14ac:dyDescent="0.25">
      <c r="A2" s="20" t="s">
        <v>194</v>
      </c>
      <c r="B2" s="60">
        <v>0</v>
      </c>
      <c r="C2" s="131">
        <f>C4</f>
        <v>43623</v>
      </c>
      <c r="D2" s="61" t="s">
        <v>192</v>
      </c>
      <c r="E2" s="61" t="s">
        <v>39</v>
      </c>
      <c r="F2" s="61">
        <f>'Tube wts'!N2</f>
        <v>0.99350000000000005</v>
      </c>
      <c r="G2" s="61">
        <f>'Tube wts'!O2</f>
        <v>1.004</v>
      </c>
      <c r="H2" s="60">
        <f t="shared" ref="H2:H3" si="0">G2-F2</f>
        <v>1.0499999999999954E-2</v>
      </c>
      <c r="I2" s="60">
        <f t="shared" ref="I2:I3" si="1">H2*9000</f>
        <v>94.499999999999588</v>
      </c>
      <c r="J2" s="60">
        <v>0</v>
      </c>
      <c r="K2" s="61" t="s">
        <v>96</v>
      </c>
      <c r="L2" s="61" t="s">
        <v>96</v>
      </c>
      <c r="M2" s="61" t="s">
        <v>96</v>
      </c>
      <c r="N2" s="61" t="s">
        <v>96</v>
      </c>
      <c r="O2" s="61" t="s">
        <v>96</v>
      </c>
      <c r="P2" s="61">
        <v>50</v>
      </c>
      <c r="Q2" s="61">
        <f t="shared" ref="Q2:Q3" si="2">1/(P2/1000)</f>
        <v>20</v>
      </c>
      <c r="R2" s="36">
        <f t="shared" ref="R2:R3" si="3">Q2 * (1/10^-1) *J2</f>
        <v>0</v>
      </c>
      <c r="S2" s="36"/>
      <c r="T2" s="36"/>
      <c r="U2" s="36"/>
      <c r="V2" s="36"/>
      <c r="W2" s="36"/>
      <c r="X2" s="94"/>
      <c r="Y2" s="95">
        <f t="shared" ref="Y2:Y3" si="4">AVERAGE(R2:W2)</f>
        <v>0</v>
      </c>
    </row>
    <row r="3" spans="1:25" customFormat="1" ht="17" thickBot="1" x14ac:dyDescent="0.25">
      <c r="A3" s="20" t="s">
        <v>194</v>
      </c>
      <c r="B3" s="60">
        <v>0</v>
      </c>
      <c r="C3" s="131">
        <f>C4</f>
        <v>43623</v>
      </c>
      <c r="D3" s="61" t="s">
        <v>193</v>
      </c>
      <c r="E3" s="61" t="s">
        <v>39</v>
      </c>
      <c r="F3" s="61">
        <f>'Tube wts'!N3</f>
        <v>0.98150000000000004</v>
      </c>
      <c r="G3" s="61">
        <f>'Tube wts'!O3</f>
        <v>0.99490000000000001</v>
      </c>
      <c r="H3" s="60">
        <f t="shared" si="0"/>
        <v>1.3399999999999967E-2</v>
      </c>
      <c r="I3" s="60">
        <f t="shared" si="1"/>
        <v>120.59999999999971</v>
      </c>
      <c r="J3" s="60">
        <v>0</v>
      </c>
      <c r="K3" s="61" t="s">
        <v>96</v>
      </c>
      <c r="L3" s="61" t="s">
        <v>96</v>
      </c>
      <c r="M3" s="61" t="s">
        <v>96</v>
      </c>
      <c r="N3" s="61" t="s">
        <v>96</v>
      </c>
      <c r="O3" s="61" t="s">
        <v>96</v>
      </c>
      <c r="P3" s="61">
        <v>50</v>
      </c>
      <c r="Q3" s="61">
        <f t="shared" si="2"/>
        <v>20</v>
      </c>
      <c r="R3" s="36">
        <f t="shared" si="3"/>
        <v>0</v>
      </c>
      <c r="S3" s="36"/>
      <c r="T3" s="36"/>
      <c r="U3" s="36"/>
      <c r="V3" s="36"/>
      <c r="W3" s="36"/>
      <c r="X3" s="94"/>
      <c r="Y3" s="95">
        <f t="shared" si="4"/>
        <v>0</v>
      </c>
    </row>
    <row r="4" spans="1:25" customFormat="1" x14ac:dyDescent="0.2">
      <c r="A4" s="20" t="s">
        <v>70</v>
      </c>
      <c r="B4" s="60">
        <v>0</v>
      </c>
      <c r="C4" s="131">
        <v>43623</v>
      </c>
      <c r="D4" s="61" t="str">
        <f>'Tube wts'!D2</f>
        <v>nt_4_0</v>
      </c>
      <c r="E4" s="61" t="str">
        <f>'Tube wts'!E2</f>
        <v>N</v>
      </c>
      <c r="F4" s="61">
        <f>'Tube wts'!F2</f>
        <v>0.98450000000000004</v>
      </c>
      <c r="G4" s="61">
        <f>'Tube wts'!G2</f>
        <v>0.99519999999999997</v>
      </c>
      <c r="H4" s="60">
        <f>G4-F4</f>
        <v>1.0699999999999932E-2</v>
      </c>
      <c r="I4" s="60">
        <f>H4*9000</f>
        <v>96.299999999999386</v>
      </c>
      <c r="J4" s="60">
        <v>0</v>
      </c>
      <c r="K4" s="61" t="s">
        <v>96</v>
      </c>
      <c r="L4" s="61" t="s">
        <v>96</v>
      </c>
      <c r="M4" s="61" t="s">
        <v>96</v>
      </c>
      <c r="N4" s="61" t="s">
        <v>96</v>
      </c>
      <c r="O4" s="61" t="s">
        <v>96</v>
      </c>
      <c r="P4" s="61">
        <v>50</v>
      </c>
      <c r="Q4" s="61">
        <f>1/(P4/1000)</f>
        <v>20</v>
      </c>
      <c r="R4" s="36">
        <f>Q4 * (1/10^-1) *J4</f>
        <v>0</v>
      </c>
      <c r="S4" s="36"/>
      <c r="T4" s="36"/>
      <c r="U4" s="36"/>
      <c r="V4" s="36"/>
      <c r="W4" s="36"/>
      <c r="X4" s="94"/>
      <c r="Y4" s="95">
        <f>AVERAGE(R4:W4)</f>
        <v>0</v>
      </c>
    </row>
    <row r="5" spans="1:25" customFormat="1" x14ac:dyDescent="0.2">
      <c r="A5" s="57" t="s">
        <v>70</v>
      </c>
      <c r="B5" s="58">
        <v>0</v>
      </c>
      <c r="C5" s="93">
        <v>43623</v>
      </c>
      <c r="D5" s="61" t="str">
        <f>'Tube wts'!D3</f>
        <v>nt_4_R</v>
      </c>
      <c r="E5" s="61" t="str">
        <f>'Tube wts'!E3</f>
        <v>1R</v>
      </c>
      <c r="F5" s="61">
        <f>'Tube wts'!F3</f>
        <v>0.98829999999999996</v>
      </c>
      <c r="G5" s="61">
        <f>'Tube wts'!G3</f>
        <v>1.0042</v>
      </c>
      <c r="H5" s="58">
        <f t="shared" ref="H5:H21" si="5">G5-F5</f>
        <v>1.5900000000000025E-2</v>
      </c>
      <c r="I5" s="58">
        <f t="shared" ref="I5:I79" si="6">H5*9000</f>
        <v>143.10000000000022</v>
      </c>
      <c r="J5" s="26">
        <v>0</v>
      </c>
      <c r="K5" s="26" t="s">
        <v>96</v>
      </c>
      <c r="L5" s="26" t="s">
        <v>96</v>
      </c>
      <c r="M5" s="26" t="s">
        <v>96</v>
      </c>
      <c r="N5" s="26" t="s">
        <v>96</v>
      </c>
      <c r="O5" s="26" t="s">
        <v>96</v>
      </c>
      <c r="P5" s="26">
        <v>50</v>
      </c>
      <c r="Q5" s="61">
        <f t="shared" ref="Q5:Q79" si="7">1/(P5/1000)</f>
        <v>20</v>
      </c>
      <c r="R5" s="36">
        <f t="shared" ref="R5:R11" si="8">Q5 * (1/10^-1) *J5</f>
        <v>0</v>
      </c>
      <c r="S5" s="36"/>
      <c r="T5" s="36"/>
      <c r="U5" s="36"/>
      <c r="V5" s="36"/>
      <c r="W5" s="36"/>
      <c r="X5" s="77"/>
      <c r="Y5" s="78">
        <f t="shared" ref="Y5:Y13" si="9">AVERAGE(R5:W5)</f>
        <v>0</v>
      </c>
    </row>
    <row r="6" spans="1:25" s="76" customFormat="1" x14ac:dyDescent="0.2">
      <c r="A6" s="69" t="s">
        <v>27</v>
      </c>
      <c r="B6" s="70">
        <v>0</v>
      </c>
      <c r="C6" s="71">
        <v>43623</v>
      </c>
      <c r="D6" s="61" t="str">
        <f>'Tube wts'!D4</f>
        <v>f_4_0</v>
      </c>
      <c r="E6" s="61" t="str">
        <f>'Tube wts'!E4</f>
        <v>N</v>
      </c>
      <c r="F6" s="61">
        <f>'Tube wts'!F4</f>
        <v>0.98119999999999996</v>
      </c>
      <c r="G6" s="61">
        <f>'Tube wts'!G4</f>
        <v>0.99809999999999999</v>
      </c>
      <c r="H6" s="70">
        <f t="shared" si="5"/>
        <v>1.6900000000000026E-2</v>
      </c>
      <c r="I6" s="70">
        <f t="shared" si="6"/>
        <v>152.10000000000022</v>
      </c>
      <c r="J6" s="73">
        <v>0</v>
      </c>
      <c r="K6" s="73" t="s">
        <v>96</v>
      </c>
      <c r="L6" s="73" t="s">
        <v>96</v>
      </c>
      <c r="M6" s="73" t="s">
        <v>96</v>
      </c>
      <c r="N6" s="73" t="s">
        <v>96</v>
      </c>
      <c r="O6" s="73" t="s">
        <v>96</v>
      </c>
      <c r="P6" s="73">
        <v>50</v>
      </c>
      <c r="Q6" s="74">
        <f t="shared" si="7"/>
        <v>20</v>
      </c>
      <c r="R6" s="75">
        <f t="shared" si="8"/>
        <v>0</v>
      </c>
      <c r="S6" s="75"/>
      <c r="T6" s="75"/>
      <c r="U6" s="75"/>
      <c r="V6" s="75"/>
      <c r="W6" s="75"/>
      <c r="X6" s="79"/>
      <c r="Y6" s="80">
        <f t="shared" si="9"/>
        <v>0</v>
      </c>
    </row>
    <row r="7" spans="1:25" s="76" customFormat="1" x14ac:dyDescent="0.2">
      <c r="A7" s="69" t="s">
        <v>27</v>
      </c>
      <c r="B7" s="70">
        <v>0</v>
      </c>
      <c r="C7" s="71">
        <v>43623</v>
      </c>
      <c r="D7" s="61" t="str">
        <f>'Tube wts'!D5</f>
        <v>f_4_R</v>
      </c>
      <c r="E7" s="61" t="str">
        <f>'Tube wts'!E5</f>
        <v>1R</v>
      </c>
      <c r="F7" s="61">
        <f>'Tube wts'!F5</f>
        <v>0.97360000000000002</v>
      </c>
      <c r="G7" s="61">
        <f>'Tube wts'!G5</f>
        <v>0.99199999999999999</v>
      </c>
      <c r="H7" s="70">
        <f t="shared" si="5"/>
        <v>1.8399999999999972E-2</v>
      </c>
      <c r="I7" s="70">
        <f t="shared" si="6"/>
        <v>165.59999999999974</v>
      </c>
      <c r="J7" s="73">
        <v>0</v>
      </c>
      <c r="K7" s="73" t="s">
        <v>96</v>
      </c>
      <c r="L7" s="73" t="s">
        <v>96</v>
      </c>
      <c r="M7" s="73" t="s">
        <v>96</v>
      </c>
      <c r="N7" s="73" t="s">
        <v>96</v>
      </c>
      <c r="O7" s="73" t="s">
        <v>96</v>
      </c>
      <c r="P7" s="73">
        <v>50</v>
      </c>
      <c r="Q7" s="74">
        <f t="shared" si="7"/>
        <v>20</v>
      </c>
      <c r="R7" s="75">
        <f t="shared" si="8"/>
        <v>0</v>
      </c>
      <c r="S7" s="75"/>
      <c r="T7" s="75"/>
      <c r="U7" s="75"/>
      <c r="V7" s="75"/>
      <c r="W7" s="75"/>
      <c r="X7" s="79"/>
      <c r="Y7" s="80">
        <f t="shared" si="9"/>
        <v>0</v>
      </c>
    </row>
    <row r="8" spans="1:25" customFormat="1" x14ac:dyDescent="0.2">
      <c r="A8" s="57" t="s">
        <v>73</v>
      </c>
      <c r="B8" s="58">
        <v>0</v>
      </c>
      <c r="C8" s="93">
        <v>43623</v>
      </c>
      <c r="D8" s="61" t="str">
        <f>'Tube wts'!D6</f>
        <v>m_4_0</v>
      </c>
      <c r="E8" s="61" t="str">
        <f>'Tube wts'!E6</f>
        <v>N</v>
      </c>
      <c r="F8" s="61">
        <f>'Tube wts'!F6</f>
        <v>0.97040000000000004</v>
      </c>
      <c r="G8" s="61">
        <f>'Tube wts'!G6</f>
        <v>0.97950000000000004</v>
      </c>
      <c r="H8" s="58">
        <f t="shared" si="5"/>
        <v>9.099999999999997E-3</v>
      </c>
      <c r="I8" s="58">
        <f t="shared" si="6"/>
        <v>81.899999999999977</v>
      </c>
      <c r="J8" s="26">
        <v>0</v>
      </c>
      <c r="K8" s="26" t="s">
        <v>96</v>
      </c>
      <c r="L8" s="26" t="s">
        <v>96</v>
      </c>
      <c r="M8" s="26" t="s">
        <v>96</v>
      </c>
      <c r="N8" s="26" t="s">
        <v>96</v>
      </c>
      <c r="O8" s="26" t="s">
        <v>96</v>
      </c>
      <c r="P8" s="26">
        <v>50</v>
      </c>
      <c r="Q8" s="61">
        <f t="shared" si="7"/>
        <v>20</v>
      </c>
      <c r="R8" s="36">
        <f t="shared" si="8"/>
        <v>0</v>
      </c>
      <c r="S8" s="36"/>
      <c r="T8" s="36"/>
      <c r="U8" s="36"/>
      <c r="V8" s="36"/>
      <c r="W8" s="36"/>
      <c r="X8" s="77"/>
      <c r="Y8" s="78">
        <f t="shared" si="9"/>
        <v>0</v>
      </c>
    </row>
    <row r="9" spans="1:25" customFormat="1" x14ac:dyDescent="0.2">
      <c r="A9" s="57" t="s">
        <v>73</v>
      </c>
      <c r="B9" s="58">
        <v>0</v>
      </c>
      <c r="C9" s="93">
        <v>43623</v>
      </c>
      <c r="D9" s="61" t="str">
        <f>'Tube wts'!D7</f>
        <v>m_4_R</v>
      </c>
      <c r="E9" s="61" t="str">
        <f>'Tube wts'!E7</f>
        <v>1R</v>
      </c>
      <c r="F9" s="61">
        <f>'Tube wts'!F7</f>
        <v>0.98660000000000003</v>
      </c>
      <c r="G9" s="61">
        <f>'Tube wts'!G7</f>
        <v>1.0267999999999999</v>
      </c>
      <c r="H9" s="58">
        <f t="shared" si="5"/>
        <v>4.0199999999999902E-2</v>
      </c>
      <c r="I9" s="58">
        <f t="shared" si="6"/>
        <v>361.7999999999991</v>
      </c>
      <c r="J9" s="26">
        <v>0</v>
      </c>
      <c r="K9" s="26" t="s">
        <v>96</v>
      </c>
      <c r="L9" s="26" t="s">
        <v>96</v>
      </c>
      <c r="M9" s="26" t="s">
        <v>96</v>
      </c>
      <c r="N9" s="26" t="s">
        <v>96</v>
      </c>
      <c r="O9" s="26" t="s">
        <v>96</v>
      </c>
      <c r="P9" s="26">
        <v>50</v>
      </c>
      <c r="Q9" s="61">
        <f t="shared" si="7"/>
        <v>20</v>
      </c>
      <c r="R9" s="36">
        <f t="shared" si="8"/>
        <v>0</v>
      </c>
      <c r="S9" s="36"/>
      <c r="T9" s="36"/>
      <c r="U9" s="36"/>
      <c r="V9" s="36"/>
      <c r="W9" s="36"/>
      <c r="X9" s="77"/>
      <c r="Y9" s="78">
        <f t="shared" si="9"/>
        <v>0</v>
      </c>
    </row>
    <row r="10" spans="1:25" s="76" customFormat="1" x14ac:dyDescent="0.2">
      <c r="A10" s="69" t="s">
        <v>7</v>
      </c>
      <c r="B10" s="70">
        <v>0</v>
      </c>
      <c r="C10" s="71">
        <v>43623</v>
      </c>
      <c r="D10" s="61" t="str">
        <f>'Tube wts'!D8</f>
        <v>l_4_0</v>
      </c>
      <c r="E10" s="61" t="str">
        <f>'Tube wts'!E8</f>
        <v>N</v>
      </c>
      <c r="F10" s="61">
        <f>'Tube wts'!F8</f>
        <v>0.98480000000000001</v>
      </c>
      <c r="G10" s="61">
        <f>'Tube wts'!G8</f>
        <v>1.0002</v>
      </c>
      <c r="H10" s="70">
        <f t="shared" si="5"/>
        <v>1.5399999999999969E-2</v>
      </c>
      <c r="I10" s="70">
        <f t="shared" si="6"/>
        <v>138.59999999999971</v>
      </c>
      <c r="J10" s="73">
        <v>0</v>
      </c>
      <c r="K10" s="73" t="s">
        <v>96</v>
      </c>
      <c r="L10" s="73" t="s">
        <v>96</v>
      </c>
      <c r="M10" s="73" t="s">
        <v>96</v>
      </c>
      <c r="N10" s="73" t="s">
        <v>96</v>
      </c>
      <c r="O10" s="73" t="s">
        <v>96</v>
      </c>
      <c r="P10" s="73">
        <v>50</v>
      </c>
      <c r="Q10" s="74">
        <f t="shared" si="7"/>
        <v>20</v>
      </c>
      <c r="R10" s="75">
        <f t="shared" si="8"/>
        <v>0</v>
      </c>
      <c r="S10" s="75"/>
      <c r="T10" s="75"/>
      <c r="U10" s="75"/>
      <c r="V10" s="75"/>
      <c r="W10" s="75"/>
      <c r="X10" s="79"/>
      <c r="Y10" s="80">
        <f t="shared" si="9"/>
        <v>0</v>
      </c>
    </row>
    <row r="11" spans="1:25" s="76" customFormat="1" ht="17" thickBot="1" x14ac:dyDescent="0.25">
      <c r="A11" s="81" t="s">
        <v>7</v>
      </c>
      <c r="B11" s="82">
        <v>0</v>
      </c>
      <c r="C11" s="83">
        <v>43623</v>
      </c>
      <c r="D11" s="61" t="str">
        <f>'Tube wts'!D9</f>
        <v>l_4_R</v>
      </c>
      <c r="E11" s="61" t="str">
        <f>'Tube wts'!E9</f>
        <v>1R</v>
      </c>
      <c r="F11" s="61">
        <f>'Tube wts'!F9</f>
        <v>0.98360000000000003</v>
      </c>
      <c r="G11" s="61">
        <f>'Tube wts'!G9</f>
        <v>0.99229999999999996</v>
      </c>
      <c r="H11" s="82">
        <f t="shared" si="5"/>
        <v>8.69999999999993E-3</v>
      </c>
      <c r="I11" s="82">
        <f t="shared" si="6"/>
        <v>78.299999999999372</v>
      </c>
      <c r="J11" s="86">
        <v>0</v>
      </c>
      <c r="K11" s="86" t="s">
        <v>96</v>
      </c>
      <c r="L11" s="86" t="s">
        <v>96</v>
      </c>
      <c r="M11" s="86" t="s">
        <v>96</v>
      </c>
      <c r="N11" s="86" t="s">
        <v>96</v>
      </c>
      <c r="O11" s="86" t="s">
        <v>96</v>
      </c>
      <c r="P11" s="85">
        <v>50</v>
      </c>
      <c r="Q11" s="87">
        <f t="shared" si="7"/>
        <v>20</v>
      </c>
      <c r="R11" s="88">
        <f t="shared" si="8"/>
        <v>0</v>
      </c>
      <c r="S11" s="88"/>
      <c r="T11" s="88"/>
      <c r="U11" s="88"/>
      <c r="V11" s="88"/>
      <c r="W11" s="88"/>
      <c r="X11" s="89"/>
      <c r="Y11" s="90">
        <f t="shared" si="9"/>
        <v>0</v>
      </c>
    </row>
    <row r="12" spans="1:25" s="76" customFormat="1" x14ac:dyDescent="0.2">
      <c r="A12" s="20" t="s">
        <v>194</v>
      </c>
      <c r="B12" s="126">
        <v>1</v>
      </c>
      <c r="C12" s="173">
        <f>C14</f>
        <v>43624</v>
      </c>
      <c r="D12" s="61" t="s">
        <v>192</v>
      </c>
      <c r="E12" s="61" t="s">
        <v>39</v>
      </c>
      <c r="F12" s="61">
        <f>'Tube wts'!N4</f>
        <v>0.99299999999999999</v>
      </c>
      <c r="G12" s="61">
        <f>'Tube wts'!O4</f>
        <v>1.0085999999999999</v>
      </c>
      <c r="H12" s="60">
        <f t="shared" si="5"/>
        <v>1.5599999999999947E-2</v>
      </c>
      <c r="I12" s="60">
        <f t="shared" si="6"/>
        <v>140.39999999999952</v>
      </c>
      <c r="J12" s="174" t="s">
        <v>96</v>
      </c>
      <c r="K12" s="174" t="s">
        <v>96</v>
      </c>
      <c r="L12" s="174" t="s">
        <v>191</v>
      </c>
      <c r="M12" s="174">
        <v>212</v>
      </c>
      <c r="N12" s="174">
        <v>45</v>
      </c>
      <c r="O12" s="174">
        <v>8</v>
      </c>
      <c r="P12" s="61">
        <v>50</v>
      </c>
      <c r="Q12" s="61">
        <f t="shared" si="7"/>
        <v>20</v>
      </c>
      <c r="R12" s="36"/>
      <c r="S12" s="177"/>
      <c r="T12" s="177"/>
      <c r="U12" s="36">
        <f t="shared" ref="U12:U17" si="10">Q12 * (1/10^-4) *M12</f>
        <v>42400000</v>
      </c>
      <c r="V12" s="36">
        <f t="shared" ref="V12:V20" si="11">Q12 * (1/10^-5) *N12</f>
        <v>89999999.999999985</v>
      </c>
      <c r="W12" s="36">
        <f t="shared" ref="W12" si="12">Q12 * (1/10^-6) *O12</f>
        <v>160000000</v>
      </c>
      <c r="X12" s="79"/>
      <c r="Y12" s="95">
        <f t="shared" si="9"/>
        <v>97466666.666666672</v>
      </c>
    </row>
    <row r="13" spans="1:25" s="76" customFormat="1" x14ac:dyDescent="0.2">
      <c r="A13" s="20" t="s">
        <v>194</v>
      </c>
      <c r="B13" s="126">
        <v>1</v>
      </c>
      <c r="C13" s="173">
        <f>C14</f>
        <v>43624</v>
      </c>
      <c r="D13" s="61" t="s">
        <v>193</v>
      </c>
      <c r="E13" s="61" t="s">
        <v>39</v>
      </c>
      <c r="F13" s="61">
        <f>'Tube wts'!N5</f>
        <v>0.98299999999999998</v>
      </c>
      <c r="G13" s="61">
        <f>'Tube wts'!O5</f>
        <v>0.998</v>
      </c>
      <c r="H13" s="60">
        <f t="shared" si="5"/>
        <v>1.5000000000000013E-2</v>
      </c>
      <c r="I13" s="60">
        <f t="shared" si="6"/>
        <v>135.00000000000011</v>
      </c>
      <c r="J13" s="178" t="s">
        <v>96</v>
      </c>
      <c r="K13" s="74" t="s">
        <v>96</v>
      </c>
      <c r="L13" s="74" t="s">
        <v>191</v>
      </c>
      <c r="M13" s="74">
        <v>285</v>
      </c>
      <c r="N13" s="74">
        <v>37</v>
      </c>
      <c r="O13" s="74">
        <v>8</v>
      </c>
      <c r="P13" s="61">
        <v>50</v>
      </c>
      <c r="Q13" s="61">
        <f t="shared" si="7"/>
        <v>20</v>
      </c>
      <c r="R13" s="36"/>
      <c r="S13" s="177"/>
      <c r="T13" s="177"/>
      <c r="U13" s="36">
        <f t="shared" si="10"/>
        <v>57000000</v>
      </c>
      <c r="V13" s="36">
        <f t="shared" si="11"/>
        <v>73999999.999999985</v>
      </c>
      <c r="W13" s="36">
        <f t="shared" ref="W13" si="13">Q13 * (1/10^-6) *O13</f>
        <v>160000000</v>
      </c>
      <c r="X13" s="79"/>
      <c r="Y13" s="95">
        <f t="shared" si="9"/>
        <v>97000000</v>
      </c>
    </row>
    <row r="14" spans="1:25" customFormat="1" x14ac:dyDescent="0.2">
      <c r="A14" s="20" t="s">
        <v>70</v>
      </c>
      <c r="B14" s="60">
        <v>1</v>
      </c>
      <c r="C14" s="59">
        <f t="shared" ref="C14:C21" si="14">C4+1</f>
        <v>43624</v>
      </c>
      <c r="D14" s="61" t="str">
        <f>'Tube wts'!D10</f>
        <v>nt_4_0</v>
      </c>
      <c r="E14" s="61" t="str">
        <f>'Tube wts'!E10</f>
        <v>N</v>
      </c>
      <c r="F14" s="61">
        <f>'Tube wts'!F10</f>
        <v>0.98599999999999999</v>
      </c>
      <c r="G14" s="61">
        <f>'Tube wts'!G10</f>
        <v>0.99480000000000002</v>
      </c>
      <c r="H14" s="60">
        <f>G14-F14</f>
        <v>8.80000000000003E-3</v>
      </c>
      <c r="I14" s="60">
        <f>H14*9000</f>
        <v>79.200000000000273</v>
      </c>
      <c r="J14" s="60" t="s">
        <v>96</v>
      </c>
      <c r="K14" s="61" t="s">
        <v>96</v>
      </c>
      <c r="L14" s="61" t="s">
        <v>191</v>
      </c>
      <c r="M14" s="61" t="s">
        <v>191</v>
      </c>
      <c r="N14" s="61">
        <v>66</v>
      </c>
      <c r="O14" s="61">
        <v>7</v>
      </c>
      <c r="P14" s="61">
        <v>50</v>
      </c>
      <c r="Q14" s="61">
        <f>1/(P14/1000)</f>
        <v>20</v>
      </c>
      <c r="R14" s="36"/>
      <c r="S14" s="75"/>
      <c r="T14" s="36"/>
      <c r="U14" s="36"/>
      <c r="V14" s="36">
        <f t="shared" si="11"/>
        <v>131999999.99999999</v>
      </c>
      <c r="W14" s="36">
        <f t="shared" ref="W14" si="15">Q14 * (1/10^-6) *O14</f>
        <v>140000000</v>
      </c>
      <c r="X14" s="94"/>
      <c r="Y14" s="95">
        <f>AVERAGE(R14:W14)</f>
        <v>136000000</v>
      </c>
    </row>
    <row r="15" spans="1:25" customFormat="1" x14ac:dyDescent="0.2">
      <c r="A15" s="57" t="s">
        <v>70</v>
      </c>
      <c r="B15" s="58">
        <v>1</v>
      </c>
      <c r="C15" s="93">
        <f t="shared" si="14"/>
        <v>43624</v>
      </c>
      <c r="D15" s="61" t="str">
        <f>'Tube wts'!D11</f>
        <v>nt_4_R</v>
      </c>
      <c r="E15" s="61" t="str">
        <f>'Tube wts'!E11</f>
        <v>1R</v>
      </c>
      <c r="F15" s="61">
        <f>'Tube wts'!F11</f>
        <v>0.99029999999999996</v>
      </c>
      <c r="G15" s="61">
        <f>'Tube wts'!G11</f>
        <v>1.0081</v>
      </c>
      <c r="H15" s="58">
        <f t="shared" si="5"/>
        <v>1.7800000000000038E-2</v>
      </c>
      <c r="I15" s="58">
        <f t="shared" si="6"/>
        <v>160.20000000000033</v>
      </c>
      <c r="J15" s="26" t="s">
        <v>96</v>
      </c>
      <c r="K15" s="26" t="s">
        <v>96</v>
      </c>
      <c r="L15" s="26" t="s">
        <v>191</v>
      </c>
      <c r="M15" s="26">
        <v>234</v>
      </c>
      <c r="N15" s="26">
        <v>36</v>
      </c>
      <c r="O15" s="26">
        <v>6</v>
      </c>
      <c r="P15" s="26">
        <v>50</v>
      </c>
      <c r="Q15" s="61">
        <f t="shared" si="7"/>
        <v>20</v>
      </c>
      <c r="R15" s="36"/>
      <c r="S15" s="75"/>
      <c r="T15" s="36"/>
      <c r="U15" s="36">
        <f t="shared" si="10"/>
        <v>46800000</v>
      </c>
      <c r="V15" s="36">
        <f t="shared" si="11"/>
        <v>71999999.999999985</v>
      </c>
      <c r="W15" s="36">
        <f t="shared" ref="W15" si="16">Q15 * (1/10^-6) *O15</f>
        <v>120000000</v>
      </c>
      <c r="X15" s="77"/>
      <c r="Y15" s="95">
        <f t="shared" ref="Y15:Y86" si="17">AVERAGE(R15:W15)</f>
        <v>79600000</v>
      </c>
    </row>
    <row r="16" spans="1:25" customFormat="1" x14ac:dyDescent="0.2">
      <c r="A16" s="69" t="s">
        <v>27</v>
      </c>
      <c r="B16" s="70">
        <v>1</v>
      </c>
      <c r="C16" s="93">
        <f t="shared" si="14"/>
        <v>43624</v>
      </c>
      <c r="D16" s="61" t="str">
        <f>'Tube wts'!D12</f>
        <v>f_4_0</v>
      </c>
      <c r="E16" s="61" t="str">
        <f>'Tube wts'!E12</f>
        <v>N</v>
      </c>
      <c r="F16" s="61">
        <f>'Tube wts'!F12</f>
        <v>0.98799999999999999</v>
      </c>
      <c r="G16" s="61">
        <f>'Tube wts'!G12</f>
        <v>1.0019</v>
      </c>
      <c r="H16" s="70">
        <f t="shared" si="5"/>
        <v>1.3900000000000023E-2</v>
      </c>
      <c r="I16" s="70">
        <f t="shared" si="6"/>
        <v>125.10000000000021</v>
      </c>
      <c r="J16" s="73" t="s">
        <v>96</v>
      </c>
      <c r="K16" s="73">
        <v>28</v>
      </c>
      <c r="L16" s="73">
        <v>5</v>
      </c>
      <c r="M16" s="73">
        <v>1</v>
      </c>
      <c r="N16" s="73">
        <v>0</v>
      </c>
      <c r="O16" s="73" t="s">
        <v>96</v>
      </c>
      <c r="P16" s="73">
        <v>50</v>
      </c>
      <c r="Q16" s="74">
        <f t="shared" si="7"/>
        <v>20</v>
      </c>
      <c r="R16" s="75"/>
      <c r="S16" s="75">
        <f t="shared" ref="S16:S19" si="18">Q16 * (1/10^-2) *K16</f>
        <v>56000</v>
      </c>
      <c r="T16" s="75">
        <f t="shared" ref="T16" si="19">Q16 * (1/10^-3) *L16</f>
        <v>100000</v>
      </c>
      <c r="U16" s="36">
        <f t="shared" si="10"/>
        <v>200000</v>
      </c>
      <c r="V16" s="36"/>
      <c r="W16" s="75"/>
      <c r="X16" s="79"/>
      <c r="Y16" s="95">
        <f t="shared" si="17"/>
        <v>118666.66666666667</v>
      </c>
    </row>
    <row r="17" spans="1:26" customFormat="1" x14ac:dyDescent="0.2">
      <c r="A17" s="69" t="s">
        <v>27</v>
      </c>
      <c r="B17" s="70">
        <v>1</v>
      </c>
      <c r="C17" s="93">
        <f t="shared" si="14"/>
        <v>43624</v>
      </c>
      <c r="D17" s="61" t="str">
        <f>'Tube wts'!D13</f>
        <v>f_4_R</v>
      </c>
      <c r="E17" s="61" t="str">
        <f>'Tube wts'!E13</f>
        <v>1R</v>
      </c>
      <c r="F17" s="61">
        <f>'Tube wts'!F13</f>
        <v>0.98240000000000005</v>
      </c>
      <c r="G17" s="61">
        <f>'Tube wts'!G13</f>
        <v>1.0029999999999999</v>
      </c>
      <c r="H17" s="70">
        <f t="shared" si="5"/>
        <v>2.0599999999999841E-2</v>
      </c>
      <c r="I17" s="70">
        <f t="shared" si="6"/>
        <v>185.39999999999856</v>
      </c>
      <c r="J17" s="73" t="s">
        <v>96</v>
      </c>
      <c r="K17" s="73" t="s">
        <v>191</v>
      </c>
      <c r="L17" s="73" t="s">
        <v>191</v>
      </c>
      <c r="M17" s="73">
        <v>32</v>
      </c>
      <c r="N17" s="73">
        <v>2</v>
      </c>
      <c r="O17" s="73" t="s">
        <v>96</v>
      </c>
      <c r="P17" s="73">
        <v>50</v>
      </c>
      <c r="Q17" s="74">
        <f t="shared" si="7"/>
        <v>20</v>
      </c>
      <c r="R17" s="75"/>
      <c r="S17" s="75"/>
      <c r="T17" s="75"/>
      <c r="U17" s="36">
        <f t="shared" si="10"/>
        <v>6400000</v>
      </c>
      <c r="V17" s="36">
        <f t="shared" si="11"/>
        <v>3999999.9999999995</v>
      </c>
      <c r="W17" s="75"/>
      <c r="X17" s="79"/>
      <c r="Y17" s="95">
        <f t="shared" si="17"/>
        <v>5200000</v>
      </c>
    </row>
    <row r="18" spans="1:26" customFormat="1" x14ac:dyDescent="0.2">
      <c r="A18" s="57" t="s">
        <v>73</v>
      </c>
      <c r="B18" s="58">
        <v>1</v>
      </c>
      <c r="C18" s="93">
        <f t="shared" si="14"/>
        <v>43624</v>
      </c>
      <c r="D18" s="61" t="str">
        <f>'Tube wts'!D14</f>
        <v>m_4_0</v>
      </c>
      <c r="E18" s="61" t="str">
        <f>'Tube wts'!E14</f>
        <v>N</v>
      </c>
      <c r="F18" s="61">
        <f>'Tube wts'!F14</f>
        <v>0.97840000000000005</v>
      </c>
      <c r="G18" s="61">
        <f>'Tube wts'!G14</f>
        <v>0.98819999999999997</v>
      </c>
      <c r="H18" s="58">
        <f t="shared" si="5"/>
        <v>9.7999999999999199E-3</v>
      </c>
      <c r="I18" s="58">
        <f t="shared" si="6"/>
        <v>88.199999999999278</v>
      </c>
      <c r="J18" s="26" t="s">
        <v>96</v>
      </c>
      <c r="K18" s="26" t="s">
        <v>191</v>
      </c>
      <c r="L18" s="26" t="s">
        <v>191</v>
      </c>
      <c r="M18" s="26">
        <v>258</v>
      </c>
      <c r="N18" s="26">
        <v>39</v>
      </c>
      <c r="O18" s="26" t="s">
        <v>96</v>
      </c>
      <c r="P18" s="26">
        <v>50</v>
      </c>
      <c r="Q18" s="61">
        <f t="shared" si="7"/>
        <v>20</v>
      </c>
      <c r="R18" s="36"/>
      <c r="S18" s="36"/>
      <c r="T18" s="75"/>
      <c r="U18" s="36">
        <f t="shared" ref="U18" si="20">Q18 * (1/10^-4) *M18</f>
        <v>51600000</v>
      </c>
      <c r="V18" s="36">
        <f t="shared" si="11"/>
        <v>77999999.999999985</v>
      </c>
      <c r="W18" s="36"/>
      <c r="X18" s="77"/>
      <c r="Y18" s="95">
        <f t="shared" si="17"/>
        <v>64799999.999999993</v>
      </c>
    </row>
    <row r="19" spans="1:26" customFormat="1" x14ac:dyDescent="0.2">
      <c r="A19" s="57" t="s">
        <v>73</v>
      </c>
      <c r="B19" s="58">
        <v>1</v>
      </c>
      <c r="C19" s="93">
        <f t="shared" si="14"/>
        <v>43624</v>
      </c>
      <c r="D19" s="61" t="str">
        <f>'Tube wts'!D15</f>
        <v>m_4_R</v>
      </c>
      <c r="E19" s="61" t="str">
        <f>'Tube wts'!E15</f>
        <v>1R</v>
      </c>
      <c r="F19" s="61">
        <f>'Tube wts'!F15</f>
        <v>0.98380000000000001</v>
      </c>
      <c r="G19" s="61">
        <f>'Tube wts'!G15</f>
        <v>1.0105999999999999</v>
      </c>
      <c r="H19" s="58">
        <f t="shared" si="5"/>
        <v>2.6799999999999935E-2</v>
      </c>
      <c r="I19" s="58">
        <f t="shared" si="6"/>
        <v>241.19999999999942</v>
      </c>
      <c r="J19" s="26" t="s">
        <v>96</v>
      </c>
      <c r="K19" s="26">
        <v>13</v>
      </c>
      <c r="L19" s="26">
        <v>0</v>
      </c>
      <c r="M19" s="26">
        <v>0</v>
      </c>
      <c r="N19" s="26">
        <v>0</v>
      </c>
      <c r="O19" s="26" t="s">
        <v>96</v>
      </c>
      <c r="P19" s="26">
        <v>50</v>
      </c>
      <c r="Q19" s="61">
        <f t="shared" si="7"/>
        <v>20</v>
      </c>
      <c r="R19" s="36"/>
      <c r="S19" s="36">
        <f t="shared" si="18"/>
        <v>26000</v>
      </c>
      <c r="T19" s="75"/>
      <c r="U19" s="36"/>
      <c r="V19" s="36"/>
      <c r="W19" s="36"/>
      <c r="X19" s="77"/>
      <c r="Y19" s="95">
        <f>AVERAGE(R19:W19)</f>
        <v>26000</v>
      </c>
    </row>
    <row r="20" spans="1:26" customFormat="1" x14ac:dyDescent="0.2">
      <c r="A20" s="69" t="s">
        <v>7</v>
      </c>
      <c r="B20" s="70">
        <v>1</v>
      </c>
      <c r="C20" s="93">
        <f t="shared" si="14"/>
        <v>43624</v>
      </c>
      <c r="D20" s="61" t="str">
        <f>'Tube wts'!D16</f>
        <v>l_4_0</v>
      </c>
      <c r="E20" s="61" t="str">
        <f>'Tube wts'!E16</f>
        <v>N</v>
      </c>
      <c r="F20" s="61">
        <f>'Tube wts'!F16</f>
        <v>0.98760000000000003</v>
      </c>
      <c r="G20" s="61">
        <f>'Tube wts'!G16</f>
        <v>1.0225</v>
      </c>
      <c r="H20" s="70">
        <f t="shared" si="5"/>
        <v>3.4899999999999931E-2</v>
      </c>
      <c r="I20" s="70">
        <f t="shared" si="6"/>
        <v>314.0999999999994</v>
      </c>
      <c r="J20" s="73" t="s">
        <v>96</v>
      </c>
      <c r="K20" s="73" t="s">
        <v>96</v>
      </c>
      <c r="L20" s="73" t="s">
        <v>191</v>
      </c>
      <c r="M20" s="73">
        <v>135</v>
      </c>
      <c r="N20" s="73">
        <v>12</v>
      </c>
      <c r="O20" s="73">
        <v>2</v>
      </c>
      <c r="P20" s="73">
        <v>50</v>
      </c>
      <c r="Q20" s="74">
        <f>1/(P20/1000)</f>
        <v>20</v>
      </c>
      <c r="R20" s="75"/>
      <c r="S20" s="75"/>
      <c r="T20" s="75"/>
      <c r="U20" s="36">
        <f t="shared" ref="U20" si="21">Q20 * (1/10^-4) *M20</f>
        <v>27000000</v>
      </c>
      <c r="V20" s="36">
        <f t="shared" si="11"/>
        <v>23999999.999999996</v>
      </c>
      <c r="W20" s="36">
        <f t="shared" ref="W20" si="22">Q20 * (1/10^-6) *O20</f>
        <v>40000000</v>
      </c>
      <c r="X20" s="79"/>
      <c r="Y20" s="95">
        <f>AVERAGE(R20:W20)</f>
        <v>30333333.333333332</v>
      </c>
    </row>
    <row r="21" spans="1:26" customFormat="1" ht="17" thickBot="1" x14ac:dyDescent="0.25">
      <c r="A21" s="81" t="s">
        <v>7</v>
      </c>
      <c r="B21" s="82">
        <v>1</v>
      </c>
      <c r="C21" s="127">
        <f t="shared" si="14"/>
        <v>43624</v>
      </c>
      <c r="D21" s="61" t="str">
        <f>'Tube wts'!D17</f>
        <v>l_4_R</v>
      </c>
      <c r="E21" s="61" t="str">
        <f>'Tube wts'!E17</f>
        <v>1R</v>
      </c>
      <c r="F21" s="61">
        <f>'Tube wts'!F17</f>
        <v>0.97519999999999996</v>
      </c>
      <c r="G21" s="61" t="str">
        <f>'Tube wts'!G17</f>
        <v>NA</v>
      </c>
      <c r="H21" s="82" t="e">
        <f t="shared" si="5"/>
        <v>#VALUE!</v>
      </c>
      <c r="I21" s="82" t="e">
        <f t="shared" si="6"/>
        <v>#VALUE!</v>
      </c>
      <c r="J21" s="86" t="s">
        <v>195</v>
      </c>
      <c r="K21" s="86" t="s">
        <v>195</v>
      </c>
      <c r="L21" s="86" t="s">
        <v>195</v>
      </c>
      <c r="M21" s="86" t="s">
        <v>195</v>
      </c>
      <c r="N21" s="86" t="s">
        <v>195</v>
      </c>
      <c r="O21" s="85" t="s">
        <v>195</v>
      </c>
      <c r="P21" s="85">
        <v>50</v>
      </c>
      <c r="Q21" s="87">
        <f t="shared" si="7"/>
        <v>20</v>
      </c>
      <c r="R21" s="88"/>
      <c r="S21" s="88"/>
      <c r="T21" s="75"/>
      <c r="U21" s="36"/>
      <c r="V21" s="36"/>
      <c r="W21" s="88"/>
      <c r="X21" s="89" t="s">
        <v>196</v>
      </c>
      <c r="Y21" s="95" t="s">
        <v>195</v>
      </c>
    </row>
    <row r="22" spans="1:26" customFormat="1" x14ac:dyDescent="0.2">
      <c r="A22" s="172" t="s">
        <v>194</v>
      </c>
      <c r="B22" s="126">
        <v>2</v>
      </c>
      <c r="C22" s="180">
        <f>C24</f>
        <v>43625</v>
      </c>
      <c r="D22" s="61" t="s">
        <v>192</v>
      </c>
      <c r="E22" s="61" t="s">
        <v>39</v>
      </c>
      <c r="F22" s="61">
        <f>'Tube wts'!N6</f>
        <v>0.98650000000000004</v>
      </c>
      <c r="G22" s="61">
        <f>'Tube wts'!O6</f>
        <v>1.0061</v>
      </c>
      <c r="H22" s="126">
        <f t="shared" ref="H22:H23" si="23">G22-F22</f>
        <v>1.9599999999999951E-2</v>
      </c>
      <c r="I22" s="126">
        <f t="shared" ref="I22:I23" si="24">H22*9000</f>
        <v>176.39999999999955</v>
      </c>
      <c r="J22" s="174" t="s">
        <v>96</v>
      </c>
      <c r="K22" s="174" t="s">
        <v>191</v>
      </c>
      <c r="L22" s="174">
        <v>183</v>
      </c>
      <c r="M22" s="174">
        <v>27</v>
      </c>
      <c r="N22" s="174">
        <v>1</v>
      </c>
      <c r="O22" s="175" t="s">
        <v>96</v>
      </c>
      <c r="P22" s="175">
        <v>50</v>
      </c>
      <c r="Q22" s="176">
        <f t="shared" ref="Q22:Q23" si="25">1/(P22/1000)</f>
        <v>20</v>
      </c>
      <c r="R22" s="177"/>
      <c r="S22" s="177"/>
      <c r="T22" s="177">
        <f t="shared" ref="T22:T27" si="26">Q22 * (1/10^-3) *L22</f>
        <v>3660000</v>
      </c>
      <c r="U22" s="184">
        <f t="shared" ref="U22:U23" si="27">Q22 * (1/10^-4) *M22</f>
        <v>5400000</v>
      </c>
      <c r="V22" s="184">
        <f t="shared" ref="V22:V24" si="28">Q22 * (1/10^-5) *N22</f>
        <v>1999999.9999999998</v>
      </c>
      <c r="W22" s="181"/>
      <c r="X22" s="79"/>
      <c r="Y22" s="95">
        <f t="shared" si="17"/>
        <v>3686666.6666666665</v>
      </c>
    </row>
    <row r="23" spans="1:26" customFormat="1" ht="17" thickBot="1" x14ac:dyDescent="0.25">
      <c r="A23" s="172" t="s">
        <v>194</v>
      </c>
      <c r="B23" s="126">
        <v>2</v>
      </c>
      <c r="C23" s="180">
        <f>C24</f>
        <v>43625</v>
      </c>
      <c r="D23" s="61" t="s">
        <v>193</v>
      </c>
      <c r="E23" s="61" t="s">
        <v>39</v>
      </c>
      <c r="F23" s="61">
        <f>'Tube wts'!N7</f>
        <v>0.97919999999999996</v>
      </c>
      <c r="G23" s="61">
        <f>'Tube wts'!O7</f>
        <v>1.0088999999999999</v>
      </c>
      <c r="H23" s="182">
        <f t="shared" si="23"/>
        <v>2.9699999999999949E-2</v>
      </c>
      <c r="I23" s="183">
        <f t="shared" si="24"/>
        <v>267.29999999999956</v>
      </c>
      <c r="J23" s="178" t="s">
        <v>96</v>
      </c>
      <c r="K23" s="74" t="s">
        <v>191</v>
      </c>
      <c r="L23" s="74" t="s">
        <v>191</v>
      </c>
      <c r="M23" s="74">
        <v>343</v>
      </c>
      <c r="N23" s="74">
        <v>37</v>
      </c>
      <c r="O23" s="179" t="s">
        <v>96</v>
      </c>
      <c r="P23" s="186">
        <v>50</v>
      </c>
      <c r="Q23" s="74">
        <f t="shared" si="25"/>
        <v>20</v>
      </c>
      <c r="R23" s="75"/>
      <c r="S23" s="75"/>
      <c r="T23" s="75"/>
      <c r="U23" s="36">
        <f t="shared" si="27"/>
        <v>68600000</v>
      </c>
      <c r="V23" s="36">
        <f t="shared" si="28"/>
        <v>73999999.999999985</v>
      </c>
      <c r="W23" s="181"/>
      <c r="X23" s="79"/>
      <c r="Y23" s="95">
        <f t="shared" si="17"/>
        <v>71300000</v>
      </c>
    </row>
    <row r="24" spans="1:26" customFormat="1" x14ac:dyDescent="0.2">
      <c r="A24" s="20" t="s">
        <v>70</v>
      </c>
      <c r="B24" s="60">
        <v>2</v>
      </c>
      <c r="C24" s="131">
        <f t="shared" ref="C24:C31" si="29">C14+1</f>
        <v>43625</v>
      </c>
      <c r="D24" s="61" t="str">
        <f>'Tube wts'!D18</f>
        <v>nt_4_0</v>
      </c>
      <c r="E24" s="61" t="str">
        <f>'Tube wts'!E18</f>
        <v>N</v>
      </c>
      <c r="F24" s="61">
        <f>'Tube wts'!F18</f>
        <v>0.97860000000000003</v>
      </c>
      <c r="G24" s="61">
        <f>'Tube wts'!G18</f>
        <v>0.99790000000000001</v>
      </c>
      <c r="H24" s="58">
        <f>G24-F24</f>
        <v>1.9299999999999984E-2</v>
      </c>
      <c r="I24" s="58">
        <f>H24*9000</f>
        <v>173.69999999999985</v>
      </c>
      <c r="J24" s="60" t="s">
        <v>96</v>
      </c>
      <c r="K24" s="61" t="s">
        <v>191</v>
      </c>
      <c r="L24" s="61">
        <v>68</v>
      </c>
      <c r="M24" s="61">
        <v>7</v>
      </c>
      <c r="N24" s="61">
        <v>1</v>
      </c>
      <c r="O24" s="61" t="s">
        <v>96</v>
      </c>
      <c r="P24" s="26">
        <v>50</v>
      </c>
      <c r="Q24" s="26">
        <f>1/(P24/1000)</f>
        <v>20</v>
      </c>
      <c r="R24" s="185"/>
      <c r="S24" s="120"/>
      <c r="T24" s="177">
        <f t="shared" si="26"/>
        <v>1360000</v>
      </c>
      <c r="U24" s="36">
        <f t="shared" ref="U24:U31" si="30">Q24 * (1/10^-4) *M24</f>
        <v>1400000</v>
      </c>
      <c r="V24" s="75">
        <f t="shared" si="28"/>
        <v>1999999.9999999998</v>
      </c>
      <c r="W24" s="120"/>
      <c r="X24" s="94"/>
      <c r="Y24" s="95">
        <f t="shared" si="17"/>
        <v>1586666.6666666667</v>
      </c>
    </row>
    <row r="25" spans="1:26" customFormat="1" x14ac:dyDescent="0.2">
      <c r="A25" s="57" t="s">
        <v>70</v>
      </c>
      <c r="B25" s="58">
        <v>2</v>
      </c>
      <c r="C25" s="93">
        <f t="shared" si="29"/>
        <v>43625</v>
      </c>
      <c r="D25" s="61" t="str">
        <f>'Tube wts'!D19</f>
        <v>nt_4_R</v>
      </c>
      <c r="E25" s="61" t="str">
        <f>'Tube wts'!E19</f>
        <v>1R</v>
      </c>
      <c r="F25" s="61">
        <f>'Tube wts'!F19</f>
        <v>0.98209999999999997</v>
      </c>
      <c r="G25" s="61">
        <f>'Tube wts'!G19</f>
        <v>1.0068999999999999</v>
      </c>
      <c r="H25" s="60">
        <f>G25-F25</f>
        <v>2.4799999999999933E-2</v>
      </c>
      <c r="I25" s="60">
        <f>H25*9000</f>
        <v>223.19999999999939</v>
      </c>
      <c r="J25" s="58" t="s">
        <v>96</v>
      </c>
      <c r="K25" s="58">
        <v>284</v>
      </c>
      <c r="L25" s="58">
        <v>24</v>
      </c>
      <c r="M25" s="58">
        <v>2</v>
      </c>
      <c r="N25" s="58">
        <v>1</v>
      </c>
      <c r="O25" s="58" t="s">
        <v>96</v>
      </c>
      <c r="P25" s="61">
        <v>50</v>
      </c>
      <c r="Q25" s="61">
        <f>1/(P25/1000)</f>
        <v>20</v>
      </c>
      <c r="R25" s="75"/>
      <c r="S25" s="75">
        <f t="shared" ref="S25:S34" si="31">Q25 * (1/10^-2) *K25</f>
        <v>568000</v>
      </c>
      <c r="T25" s="177">
        <f t="shared" si="26"/>
        <v>480000</v>
      </c>
      <c r="U25" s="36">
        <f t="shared" si="30"/>
        <v>400000</v>
      </c>
      <c r="V25" s="75">
        <f t="shared" ref="V25" si="32">Q25 * (1/10^-5) *N25</f>
        <v>1999999.9999999998</v>
      </c>
      <c r="W25" s="58"/>
      <c r="X25" s="58"/>
      <c r="Y25" s="95">
        <f t="shared" si="17"/>
        <v>862000</v>
      </c>
    </row>
    <row r="26" spans="1:26" customFormat="1" x14ac:dyDescent="0.2">
      <c r="A26" s="69" t="s">
        <v>27</v>
      </c>
      <c r="B26" s="70">
        <v>2</v>
      </c>
      <c r="C26" s="93">
        <f t="shared" si="29"/>
        <v>43625</v>
      </c>
      <c r="D26" s="61" t="str">
        <f>'Tube wts'!D20</f>
        <v>f_4_0</v>
      </c>
      <c r="E26" s="61" t="str">
        <f>'Tube wts'!E20</f>
        <v>N</v>
      </c>
      <c r="F26" s="61">
        <f>'Tube wts'!F20</f>
        <v>0.98260000000000003</v>
      </c>
      <c r="G26" s="61">
        <f>'Tube wts'!G20</f>
        <v>1.0135000000000001</v>
      </c>
      <c r="H26" s="70">
        <f t="shared" ref="H26:H31" si="33">G26-F26</f>
        <v>3.0900000000000039E-2</v>
      </c>
      <c r="I26" s="70">
        <f t="shared" si="6"/>
        <v>278.10000000000036</v>
      </c>
      <c r="J26" s="73" t="s">
        <v>96</v>
      </c>
      <c r="K26" s="73">
        <v>2</v>
      </c>
      <c r="L26" s="73">
        <v>0</v>
      </c>
      <c r="M26" s="73">
        <v>0</v>
      </c>
      <c r="N26" s="73">
        <v>0</v>
      </c>
      <c r="O26" s="73" t="s">
        <v>96</v>
      </c>
      <c r="P26" s="73">
        <v>50</v>
      </c>
      <c r="Q26" s="74">
        <f t="shared" si="7"/>
        <v>20</v>
      </c>
      <c r="R26" s="75"/>
      <c r="S26" s="75">
        <f t="shared" si="31"/>
        <v>4000</v>
      </c>
      <c r="T26" s="177"/>
      <c r="U26" s="75"/>
      <c r="V26" s="75"/>
      <c r="W26" s="75"/>
      <c r="X26" s="79"/>
      <c r="Y26" s="95">
        <f t="shared" si="17"/>
        <v>4000</v>
      </c>
    </row>
    <row r="27" spans="1:26" customFormat="1" x14ac:dyDescent="0.2">
      <c r="A27" s="69" t="s">
        <v>27</v>
      </c>
      <c r="B27" s="70">
        <v>2</v>
      </c>
      <c r="C27" s="93">
        <f t="shared" si="29"/>
        <v>43625</v>
      </c>
      <c r="D27" s="61" t="str">
        <f>'Tube wts'!D21</f>
        <v>f_4_R</v>
      </c>
      <c r="E27" s="61" t="str">
        <f>'Tube wts'!E21</f>
        <v>1R</v>
      </c>
      <c r="F27" s="61">
        <f>'Tube wts'!F21</f>
        <v>0.98229999999999995</v>
      </c>
      <c r="G27" s="61">
        <f>'Tube wts'!G21</f>
        <v>1.028</v>
      </c>
      <c r="H27" s="70">
        <f t="shared" si="33"/>
        <v>4.5700000000000074E-2</v>
      </c>
      <c r="I27" s="70">
        <f t="shared" si="6"/>
        <v>411.30000000000064</v>
      </c>
      <c r="J27" s="73" t="s">
        <v>96</v>
      </c>
      <c r="K27" s="73">
        <v>77</v>
      </c>
      <c r="L27" s="73">
        <v>5</v>
      </c>
      <c r="M27" s="73">
        <v>3</v>
      </c>
      <c r="N27" s="73">
        <v>0</v>
      </c>
      <c r="O27" s="73" t="s">
        <v>96</v>
      </c>
      <c r="P27" s="73">
        <v>50</v>
      </c>
      <c r="Q27" s="74">
        <f t="shared" si="7"/>
        <v>20</v>
      </c>
      <c r="R27" s="75"/>
      <c r="S27" s="75">
        <f t="shared" si="31"/>
        <v>154000</v>
      </c>
      <c r="T27" s="177">
        <f t="shared" si="26"/>
        <v>100000</v>
      </c>
      <c r="U27" s="36">
        <f t="shared" si="30"/>
        <v>600000</v>
      </c>
      <c r="V27" s="75"/>
      <c r="W27" s="75"/>
      <c r="X27" s="79"/>
      <c r="Y27" s="95">
        <f t="shared" si="17"/>
        <v>284666.66666666669</v>
      </c>
    </row>
    <row r="28" spans="1:26" customFormat="1" x14ac:dyDescent="0.2">
      <c r="A28" s="57" t="s">
        <v>73</v>
      </c>
      <c r="B28" s="58">
        <v>2</v>
      </c>
      <c r="C28" s="93">
        <f t="shared" si="29"/>
        <v>43625</v>
      </c>
      <c r="D28" s="61" t="str">
        <f>'Tube wts'!D22</f>
        <v>m_4_0</v>
      </c>
      <c r="E28" s="61" t="str">
        <f>'Tube wts'!E22</f>
        <v>N</v>
      </c>
      <c r="F28" s="61">
        <f>'Tube wts'!F22</f>
        <v>0.98260000000000003</v>
      </c>
      <c r="G28" s="61">
        <f>'Tube wts'!G22</f>
        <v>1.0063</v>
      </c>
      <c r="H28" s="58">
        <f t="shared" si="33"/>
        <v>2.3699999999999943E-2</v>
      </c>
      <c r="I28" s="58">
        <f t="shared" si="6"/>
        <v>213.2999999999995</v>
      </c>
      <c r="J28" s="26" t="s">
        <v>96</v>
      </c>
      <c r="K28" s="26" t="s">
        <v>191</v>
      </c>
      <c r="L28" s="26">
        <v>290</v>
      </c>
      <c r="M28" s="26">
        <v>50</v>
      </c>
      <c r="N28" s="26">
        <v>3</v>
      </c>
      <c r="O28" s="26" t="s">
        <v>96</v>
      </c>
      <c r="P28" s="26">
        <v>50</v>
      </c>
      <c r="Q28" s="61">
        <f t="shared" si="7"/>
        <v>20</v>
      </c>
      <c r="R28" s="75"/>
      <c r="S28" s="75"/>
      <c r="T28" s="75">
        <f t="shared" ref="T28:T77" si="34">Q28 * (1/10^-3) *L28</f>
        <v>5800000</v>
      </c>
      <c r="U28" s="36">
        <f t="shared" si="30"/>
        <v>10000000</v>
      </c>
      <c r="V28" s="36">
        <f t="shared" ref="V28:V31" si="35">Q28 * (1/10^-5) *N28</f>
        <v>5999999.9999999991</v>
      </c>
      <c r="W28" s="36"/>
      <c r="X28" s="77"/>
      <c r="Y28" s="95">
        <f t="shared" si="17"/>
        <v>7266666.666666667</v>
      </c>
    </row>
    <row r="29" spans="1:26" customFormat="1" x14ac:dyDescent="0.2">
      <c r="A29" s="57" t="s">
        <v>73</v>
      </c>
      <c r="B29" s="58">
        <v>2</v>
      </c>
      <c r="C29" s="93">
        <f t="shared" si="29"/>
        <v>43625</v>
      </c>
      <c r="D29" s="61" t="str">
        <f>'Tube wts'!D23</f>
        <v>m_4_R</v>
      </c>
      <c r="E29" s="61" t="str">
        <f>'Tube wts'!E23</f>
        <v>1R</v>
      </c>
      <c r="F29" s="61">
        <f>'Tube wts'!F23</f>
        <v>0.98650000000000004</v>
      </c>
      <c r="G29" s="61">
        <f>'Tube wts'!G23</f>
        <v>1.0239</v>
      </c>
      <c r="H29" s="58">
        <f t="shared" si="33"/>
        <v>3.7399999999999989E-2</v>
      </c>
      <c r="I29" s="58">
        <f t="shared" si="6"/>
        <v>336.59999999999991</v>
      </c>
      <c r="J29" s="26" t="s">
        <v>96</v>
      </c>
      <c r="K29" s="26">
        <v>4</v>
      </c>
      <c r="L29" s="26">
        <v>0</v>
      </c>
      <c r="M29" s="26">
        <v>0</v>
      </c>
      <c r="N29" s="26">
        <v>0</v>
      </c>
      <c r="O29" s="26" t="s">
        <v>96</v>
      </c>
      <c r="P29" s="26">
        <v>50</v>
      </c>
      <c r="Q29" s="61">
        <f t="shared" si="7"/>
        <v>20</v>
      </c>
      <c r="R29" s="75"/>
      <c r="S29" s="75">
        <f t="shared" si="31"/>
        <v>8000</v>
      </c>
      <c r="T29" s="75">
        <v>0</v>
      </c>
      <c r="U29" s="36">
        <f t="shared" si="30"/>
        <v>0</v>
      </c>
      <c r="V29" s="36"/>
      <c r="W29" s="36"/>
      <c r="X29" s="77"/>
      <c r="Y29" s="95">
        <f t="shared" si="17"/>
        <v>2666.6666666666665</v>
      </c>
    </row>
    <row r="30" spans="1:26" customFormat="1" x14ac:dyDescent="0.2">
      <c r="A30" s="69" t="s">
        <v>7</v>
      </c>
      <c r="B30" s="70">
        <v>2</v>
      </c>
      <c r="C30" s="93">
        <f t="shared" si="29"/>
        <v>43625</v>
      </c>
      <c r="D30" s="61" t="str">
        <f>'Tube wts'!D24</f>
        <v>l_4_0</v>
      </c>
      <c r="E30" s="61" t="str">
        <f>'Tube wts'!E24</f>
        <v>N</v>
      </c>
      <c r="F30" s="61">
        <f>'Tube wts'!F24</f>
        <v>0.98809999999999998</v>
      </c>
      <c r="G30" s="61">
        <f>'Tube wts'!G24</f>
        <v>1.0108999999999999</v>
      </c>
      <c r="H30" s="70">
        <f t="shared" si="33"/>
        <v>2.2799999999999931E-2</v>
      </c>
      <c r="I30" s="70">
        <f t="shared" si="6"/>
        <v>205.19999999999939</v>
      </c>
      <c r="J30" s="73" t="s">
        <v>96</v>
      </c>
      <c r="K30" s="73" t="s">
        <v>191</v>
      </c>
      <c r="L30" s="73">
        <v>40</v>
      </c>
      <c r="M30" s="73">
        <v>4</v>
      </c>
      <c r="N30" s="73">
        <v>1</v>
      </c>
      <c r="O30" s="73" t="s">
        <v>96</v>
      </c>
      <c r="P30" s="73">
        <v>50</v>
      </c>
      <c r="Q30" s="74">
        <f t="shared" si="7"/>
        <v>20</v>
      </c>
      <c r="R30" s="75"/>
      <c r="S30" s="75"/>
      <c r="T30" s="75">
        <f t="shared" si="34"/>
        <v>800000</v>
      </c>
      <c r="U30" s="75">
        <f t="shared" si="30"/>
        <v>800000</v>
      </c>
      <c r="V30" s="75">
        <f t="shared" si="35"/>
        <v>1999999.9999999998</v>
      </c>
      <c r="W30" s="75"/>
      <c r="X30" s="79"/>
      <c r="Y30" s="95">
        <f t="shared" si="17"/>
        <v>1200000</v>
      </c>
    </row>
    <row r="31" spans="1:26" customFormat="1" ht="17" thickBot="1" x14ac:dyDescent="0.25">
      <c r="A31" s="81" t="s">
        <v>7</v>
      </c>
      <c r="B31" s="82">
        <v>2</v>
      </c>
      <c r="C31" s="140">
        <f t="shared" si="29"/>
        <v>43625</v>
      </c>
      <c r="D31" s="61" t="str">
        <f>'Tube wts'!D25</f>
        <v>l_4_R</v>
      </c>
      <c r="E31" s="61" t="str">
        <f>'Tube wts'!E25</f>
        <v>1R</v>
      </c>
      <c r="F31" s="61">
        <f>'Tube wts'!F25</f>
        <v>0.98160000000000003</v>
      </c>
      <c r="G31" s="61">
        <f>'Tube wts'!G25</f>
        <v>1.0117</v>
      </c>
      <c r="H31" s="82">
        <f t="shared" si="33"/>
        <v>3.0100000000000016E-2</v>
      </c>
      <c r="I31" s="82">
        <f t="shared" si="6"/>
        <v>270.90000000000015</v>
      </c>
      <c r="J31" s="86" t="s">
        <v>96</v>
      </c>
      <c r="K31" s="86">
        <v>58</v>
      </c>
      <c r="L31" s="86">
        <v>5</v>
      </c>
      <c r="M31" s="86">
        <v>0</v>
      </c>
      <c r="N31" s="86">
        <v>1</v>
      </c>
      <c r="O31" s="85" t="s">
        <v>96</v>
      </c>
      <c r="P31" s="85">
        <v>50</v>
      </c>
      <c r="Q31" s="87">
        <f t="shared" si="7"/>
        <v>20</v>
      </c>
      <c r="R31" s="88"/>
      <c r="S31" s="75">
        <f t="shared" si="31"/>
        <v>116000</v>
      </c>
      <c r="T31" s="75">
        <f t="shared" si="34"/>
        <v>100000</v>
      </c>
      <c r="U31" s="36">
        <f t="shared" si="30"/>
        <v>0</v>
      </c>
      <c r="V31" s="75">
        <f t="shared" si="35"/>
        <v>1999999.9999999998</v>
      </c>
      <c r="W31" s="88"/>
      <c r="X31" s="89"/>
      <c r="Y31" s="95">
        <f t="shared" si="17"/>
        <v>554000</v>
      </c>
      <c r="Z31" s="13" t="s">
        <v>199</v>
      </c>
    </row>
    <row r="32" spans="1:26" customFormat="1" x14ac:dyDescent="0.2">
      <c r="A32" s="172" t="s">
        <v>194</v>
      </c>
      <c r="B32" s="126">
        <f>B34</f>
        <v>3</v>
      </c>
      <c r="C32" s="180">
        <f>C34</f>
        <v>43626</v>
      </c>
      <c r="D32" s="61" t="s">
        <v>192</v>
      </c>
      <c r="E32" s="61" t="s">
        <v>39</v>
      </c>
      <c r="F32" s="61">
        <f>'Tube wts'!N8</f>
        <v>0.99550000000000005</v>
      </c>
      <c r="G32" s="61">
        <f>'Tube wts'!O8</f>
        <v>1.0107999999999999</v>
      </c>
      <c r="H32" s="126">
        <f t="shared" ref="H32:H33" si="36">G32-F32</f>
        <v>1.5299999999999869E-2</v>
      </c>
      <c r="I32" s="126">
        <f t="shared" ref="I32:I33" si="37">H32*9000</f>
        <v>137.69999999999882</v>
      </c>
      <c r="J32" s="174" t="s">
        <v>96</v>
      </c>
      <c r="K32" s="174" t="s">
        <v>191</v>
      </c>
      <c r="L32" s="174">
        <v>91</v>
      </c>
      <c r="M32" s="174">
        <v>11</v>
      </c>
      <c r="N32" s="174">
        <v>2</v>
      </c>
      <c r="O32" s="175" t="s">
        <v>96</v>
      </c>
      <c r="P32" s="175">
        <v>50</v>
      </c>
      <c r="Q32" s="61">
        <f>1/(P32/1000)</f>
        <v>20</v>
      </c>
      <c r="R32" s="177"/>
      <c r="S32" s="75"/>
      <c r="T32" s="75">
        <f>Q32 * (1/10^-2)*(1/Z32) *L32</f>
        <v>3500823.529411796</v>
      </c>
      <c r="U32" s="75">
        <f>Q32 * (1/10^-3)*(1/Z32) *M32</f>
        <v>4231764.705882391</v>
      </c>
      <c r="V32" s="75">
        <f>Q32 * (1/10^-4)*(1/Z32) *N32</f>
        <v>7694117.647058893</v>
      </c>
      <c r="W32" s="177"/>
      <c r="X32" s="79" t="s">
        <v>197</v>
      </c>
      <c r="Y32" s="95">
        <f t="shared" si="17"/>
        <v>5142235.2941176938</v>
      </c>
      <c r="Z32" s="13">
        <f>H32/(H32+I34/1000)</f>
        <v>5.1987767584097393E-2</v>
      </c>
    </row>
    <row r="33" spans="1:26" customFormat="1" x14ac:dyDescent="0.2">
      <c r="A33" s="172" t="s">
        <v>194</v>
      </c>
      <c r="B33" s="126">
        <f>B34</f>
        <v>3</v>
      </c>
      <c r="C33" s="180">
        <f>C34</f>
        <v>43626</v>
      </c>
      <c r="D33" s="61" t="s">
        <v>193</v>
      </c>
      <c r="E33" s="61" t="s">
        <v>39</v>
      </c>
      <c r="F33" s="61">
        <f>'Tube wts'!N9</f>
        <v>0.98670000000000002</v>
      </c>
      <c r="G33" s="61">
        <f>'Tube wts'!O9</f>
        <v>1.0125</v>
      </c>
      <c r="H33" s="182">
        <f t="shared" si="36"/>
        <v>2.5799999999999934E-2</v>
      </c>
      <c r="I33" s="183">
        <f t="shared" si="37"/>
        <v>232.19999999999942</v>
      </c>
      <c r="J33" s="174" t="s">
        <v>96</v>
      </c>
      <c r="K33" s="174" t="s">
        <v>191</v>
      </c>
      <c r="L33" s="174" t="s">
        <v>191</v>
      </c>
      <c r="M33" s="174">
        <v>149</v>
      </c>
      <c r="N33" s="174">
        <v>15</v>
      </c>
      <c r="O33" s="175" t="s">
        <v>96</v>
      </c>
      <c r="P33" s="175">
        <v>50</v>
      </c>
      <c r="Q33" s="61">
        <f>1/(P33/1000)</f>
        <v>20</v>
      </c>
      <c r="R33" s="177"/>
      <c r="S33" s="75"/>
      <c r="T33" s="75"/>
      <c r="U33" s="75">
        <f>Q33 * (1/10^-3)*(1/Z33) *M33</f>
        <v>26993255.813953444</v>
      </c>
      <c r="V33" s="75">
        <f>Q33 * (1/10^-4)*(1/Z33) *N33</f>
        <v>27174418.60465112</v>
      </c>
      <c r="W33" s="177"/>
      <c r="X33" s="79" t="s">
        <v>198</v>
      </c>
      <c r="Y33" s="95">
        <f t="shared" si="17"/>
        <v>27083837.209302284</v>
      </c>
      <c r="Z33" s="13">
        <f>H33/(H33+I35/1000)</f>
        <v>0.11039794608472418</v>
      </c>
    </row>
    <row r="34" spans="1:26" customFormat="1" x14ac:dyDescent="0.2">
      <c r="A34" s="20" t="s">
        <v>70</v>
      </c>
      <c r="B34" s="60">
        <v>3</v>
      </c>
      <c r="C34" s="59">
        <f t="shared" ref="C34:C41" si="38">C24+1</f>
        <v>43626</v>
      </c>
      <c r="D34" s="61" t="str">
        <f>'Tube wts'!D26</f>
        <v>nt_4_0</v>
      </c>
      <c r="E34" s="61" t="str">
        <f>'Tube wts'!E26</f>
        <v>N</v>
      </c>
      <c r="F34" s="61">
        <f>'Tube wts'!F26</f>
        <v>0.98509999999999998</v>
      </c>
      <c r="G34" s="61">
        <f>'Tube wts'!G26</f>
        <v>1.0161</v>
      </c>
      <c r="H34" s="58">
        <f>G34-F34</f>
        <v>3.1000000000000028E-2</v>
      </c>
      <c r="I34" s="58">
        <f>H34*9000</f>
        <v>279.00000000000023</v>
      </c>
      <c r="J34" s="60" t="s">
        <v>191</v>
      </c>
      <c r="K34" s="61">
        <v>103</v>
      </c>
      <c r="L34" s="61">
        <v>10</v>
      </c>
      <c r="M34" s="61">
        <v>2</v>
      </c>
      <c r="N34" s="61" t="s">
        <v>96</v>
      </c>
      <c r="O34" s="61" t="s">
        <v>96</v>
      </c>
      <c r="P34" s="61">
        <v>50</v>
      </c>
      <c r="Q34" s="61">
        <f>1/(P34/1000)</f>
        <v>20</v>
      </c>
      <c r="R34" s="75"/>
      <c r="S34" s="75">
        <f t="shared" si="31"/>
        <v>206000</v>
      </c>
      <c r="T34" s="36">
        <f t="shared" si="34"/>
        <v>200000</v>
      </c>
      <c r="U34" s="75">
        <f t="shared" ref="U34" si="39">Q34 * (1/10^-4) *M34</f>
        <v>400000</v>
      </c>
      <c r="V34" s="36"/>
      <c r="W34" s="36"/>
      <c r="X34" s="77"/>
      <c r="Y34" s="95">
        <f t="shared" si="17"/>
        <v>268666.66666666669</v>
      </c>
    </row>
    <row r="35" spans="1:26" customFormat="1" x14ac:dyDescent="0.2">
      <c r="A35" s="57" t="s">
        <v>70</v>
      </c>
      <c r="B35" s="58">
        <v>3</v>
      </c>
      <c r="C35" s="93">
        <f t="shared" si="38"/>
        <v>43626</v>
      </c>
      <c r="D35" s="61" t="str">
        <f>'Tube wts'!D27</f>
        <v>nt_4_R</v>
      </c>
      <c r="E35" s="61" t="str">
        <f>'Tube wts'!E27</f>
        <v>1R</v>
      </c>
      <c r="F35" s="61">
        <f>'Tube wts'!F27</f>
        <v>0.98150000000000004</v>
      </c>
      <c r="G35" s="61">
        <f>'Tube wts'!G27</f>
        <v>1.0045999999999999</v>
      </c>
      <c r="H35" s="58">
        <f t="shared" ref="H35:H43" si="40">G35-F35</f>
        <v>2.3099999999999898E-2</v>
      </c>
      <c r="I35" s="58">
        <f t="shared" si="6"/>
        <v>207.8999999999991</v>
      </c>
      <c r="J35" s="26" t="s">
        <v>191</v>
      </c>
      <c r="K35" s="26" t="s">
        <v>191</v>
      </c>
      <c r="L35" s="26">
        <v>43</v>
      </c>
      <c r="M35" s="26">
        <v>5</v>
      </c>
      <c r="N35" s="26" t="s">
        <v>96</v>
      </c>
      <c r="O35" s="26" t="s">
        <v>96</v>
      </c>
      <c r="P35" s="26">
        <v>50</v>
      </c>
      <c r="Q35" s="61">
        <f t="shared" si="7"/>
        <v>20</v>
      </c>
      <c r="R35" s="75"/>
      <c r="S35" s="75"/>
      <c r="T35" s="36">
        <f t="shared" si="34"/>
        <v>860000</v>
      </c>
      <c r="U35" s="75">
        <f t="shared" ref="U35" si="41">Q35 * (1/10^-4) *M35</f>
        <v>1000000</v>
      </c>
      <c r="V35" s="36"/>
      <c r="W35" s="36"/>
      <c r="X35" s="77"/>
      <c r="Y35" s="95">
        <f t="shared" si="17"/>
        <v>930000</v>
      </c>
    </row>
    <row r="36" spans="1:26" customFormat="1" x14ac:dyDescent="0.2">
      <c r="A36" s="69" t="s">
        <v>27</v>
      </c>
      <c r="B36" s="70">
        <v>3</v>
      </c>
      <c r="C36" s="93">
        <f t="shared" si="38"/>
        <v>43626</v>
      </c>
      <c r="D36" s="61" t="str">
        <f>'Tube wts'!D28</f>
        <v>f_4_0</v>
      </c>
      <c r="E36" s="61" t="str">
        <f>'Tube wts'!E28</f>
        <v>N</v>
      </c>
      <c r="F36" s="61">
        <f>'Tube wts'!F28</f>
        <v>0.98299999999999998</v>
      </c>
      <c r="G36" s="61">
        <f>'Tube wts'!G28</f>
        <v>0.99709999999999999</v>
      </c>
      <c r="H36" s="70">
        <f t="shared" si="40"/>
        <v>1.4100000000000001E-2</v>
      </c>
      <c r="I36" s="70">
        <f t="shared" si="6"/>
        <v>126.9</v>
      </c>
      <c r="J36" s="73">
        <v>0</v>
      </c>
      <c r="K36" s="73">
        <v>0</v>
      </c>
      <c r="L36" s="73">
        <v>0</v>
      </c>
      <c r="M36" s="73">
        <v>0</v>
      </c>
      <c r="N36" s="73" t="s">
        <v>96</v>
      </c>
      <c r="O36" s="73" t="s">
        <v>96</v>
      </c>
      <c r="P36" s="73">
        <v>50</v>
      </c>
      <c r="Q36" s="74">
        <f t="shared" si="7"/>
        <v>20</v>
      </c>
      <c r="R36" s="75">
        <f>Q36 * (1/10^-1) *J36</f>
        <v>0</v>
      </c>
      <c r="S36" s="75"/>
      <c r="T36" s="75"/>
      <c r="U36" s="75"/>
      <c r="V36" s="75"/>
      <c r="W36" s="75"/>
      <c r="X36" s="77"/>
      <c r="Y36" s="95">
        <f t="shared" si="17"/>
        <v>0</v>
      </c>
    </row>
    <row r="37" spans="1:26" customFormat="1" x14ac:dyDescent="0.2">
      <c r="A37" s="69" t="s">
        <v>27</v>
      </c>
      <c r="B37" s="70">
        <v>3</v>
      </c>
      <c r="C37" s="93">
        <f t="shared" si="38"/>
        <v>43626</v>
      </c>
      <c r="D37" s="61" t="str">
        <f>'Tube wts'!D29</f>
        <v>f_4_R</v>
      </c>
      <c r="E37" s="61" t="str">
        <f>'Tube wts'!E29</f>
        <v>1R</v>
      </c>
      <c r="F37" s="61">
        <f>'Tube wts'!F29</f>
        <v>0.97609999999999997</v>
      </c>
      <c r="G37" s="61">
        <f>'Tube wts'!G29</f>
        <v>1.0230999999999999</v>
      </c>
      <c r="H37" s="70">
        <f t="shared" si="40"/>
        <v>4.6999999999999931E-2</v>
      </c>
      <c r="I37" s="70">
        <f t="shared" si="6"/>
        <v>422.99999999999937</v>
      </c>
      <c r="J37" s="73">
        <v>0</v>
      </c>
      <c r="K37" s="73">
        <v>0</v>
      </c>
      <c r="L37" s="73">
        <v>0</v>
      </c>
      <c r="M37" s="73">
        <v>0</v>
      </c>
      <c r="N37" s="73" t="s">
        <v>96</v>
      </c>
      <c r="O37" s="73" t="s">
        <v>96</v>
      </c>
      <c r="P37" s="73">
        <v>50</v>
      </c>
      <c r="Q37" s="74">
        <f t="shared" si="7"/>
        <v>20</v>
      </c>
      <c r="R37" s="75">
        <f t="shared" ref="R37:R41" si="42">Q37 * (1/10^-1) *J37</f>
        <v>0</v>
      </c>
      <c r="S37" s="75"/>
      <c r="T37" s="75"/>
      <c r="U37" s="75"/>
      <c r="V37" s="75"/>
      <c r="W37" s="75"/>
      <c r="X37" s="77"/>
      <c r="Y37" s="95">
        <f t="shared" si="17"/>
        <v>0</v>
      </c>
    </row>
    <row r="38" spans="1:26" customFormat="1" x14ac:dyDescent="0.2">
      <c r="A38" s="57" t="s">
        <v>73</v>
      </c>
      <c r="B38" s="58">
        <v>3</v>
      </c>
      <c r="C38" s="93">
        <f t="shared" si="38"/>
        <v>43626</v>
      </c>
      <c r="D38" s="61" t="str">
        <f>'Tube wts'!D30</f>
        <v>m_4_0</v>
      </c>
      <c r="E38" s="61" t="str">
        <f>'Tube wts'!E30</f>
        <v>N</v>
      </c>
      <c r="F38" s="61">
        <f>'Tube wts'!F30</f>
        <v>0.98619999999999997</v>
      </c>
      <c r="G38" s="61">
        <f>'Tube wts'!G30</f>
        <v>1.0197000000000001</v>
      </c>
      <c r="H38" s="58">
        <f t="shared" si="40"/>
        <v>3.3500000000000085E-2</v>
      </c>
      <c r="I38" s="58">
        <f t="shared" si="6"/>
        <v>301.5000000000008</v>
      </c>
      <c r="J38" s="26" t="s">
        <v>191</v>
      </c>
      <c r="K38" s="26">
        <v>144</v>
      </c>
      <c r="L38" s="26">
        <v>10</v>
      </c>
      <c r="M38" s="26">
        <v>2</v>
      </c>
      <c r="N38" s="26" t="s">
        <v>96</v>
      </c>
      <c r="O38" s="26" t="s">
        <v>96</v>
      </c>
      <c r="P38" s="26">
        <v>50</v>
      </c>
      <c r="Q38" s="61">
        <f t="shared" si="7"/>
        <v>20</v>
      </c>
      <c r="R38" s="75"/>
      <c r="S38" s="36">
        <f t="shared" ref="S38:S41" si="43">Q38 * (1/10^-2) *K38</f>
        <v>288000</v>
      </c>
      <c r="T38" s="36">
        <f t="shared" si="34"/>
        <v>200000</v>
      </c>
      <c r="U38" s="75">
        <f t="shared" ref="U38:U40" si="44">Q38 * (1/10^-4) *M38</f>
        <v>400000</v>
      </c>
      <c r="V38" s="36"/>
      <c r="W38" s="36"/>
      <c r="X38" s="77"/>
      <c r="Y38" s="95">
        <f t="shared" si="17"/>
        <v>296000</v>
      </c>
    </row>
    <row r="39" spans="1:26" customFormat="1" x14ac:dyDescent="0.2">
      <c r="A39" s="57" t="s">
        <v>73</v>
      </c>
      <c r="B39" s="58">
        <v>3</v>
      </c>
      <c r="C39" s="93">
        <f t="shared" si="38"/>
        <v>43626</v>
      </c>
      <c r="D39" s="61" t="str">
        <f>'Tube wts'!D31</f>
        <v>m_4_R</v>
      </c>
      <c r="E39" s="61" t="str">
        <f>'Tube wts'!E31</f>
        <v>1R</v>
      </c>
      <c r="F39" s="61">
        <f>'Tube wts'!F31</f>
        <v>0.99009999999999998</v>
      </c>
      <c r="G39" s="61">
        <f>'Tube wts'!G31</f>
        <v>1.0209999999999999</v>
      </c>
      <c r="H39" s="58">
        <f t="shared" si="40"/>
        <v>3.0899999999999928E-2</v>
      </c>
      <c r="I39" s="58">
        <f t="shared" si="6"/>
        <v>278.09999999999934</v>
      </c>
      <c r="J39" s="26">
        <v>2</v>
      </c>
      <c r="K39" s="26">
        <v>4</v>
      </c>
      <c r="L39" s="26">
        <v>0</v>
      </c>
      <c r="M39" s="26">
        <v>0</v>
      </c>
      <c r="N39" s="26" t="s">
        <v>96</v>
      </c>
      <c r="O39" s="26" t="s">
        <v>96</v>
      </c>
      <c r="P39" s="26">
        <v>50</v>
      </c>
      <c r="Q39" s="61">
        <f t="shared" si="7"/>
        <v>20</v>
      </c>
      <c r="R39" s="75">
        <f t="shared" si="42"/>
        <v>400</v>
      </c>
      <c r="S39" s="36">
        <f t="shared" si="43"/>
        <v>8000</v>
      </c>
      <c r="T39" s="36"/>
      <c r="U39" s="36"/>
      <c r="V39" s="36"/>
      <c r="W39" s="36"/>
      <c r="X39" s="77"/>
      <c r="Y39" s="95">
        <f t="shared" si="17"/>
        <v>4200</v>
      </c>
    </row>
    <row r="40" spans="1:26" customFormat="1" x14ac:dyDescent="0.2">
      <c r="A40" s="69" t="s">
        <v>7</v>
      </c>
      <c r="B40" s="70">
        <v>3</v>
      </c>
      <c r="C40" s="93">
        <f t="shared" si="38"/>
        <v>43626</v>
      </c>
      <c r="D40" s="61" t="str">
        <f>'Tube wts'!D32</f>
        <v>l_4_0</v>
      </c>
      <c r="E40" s="61" t="str">
        <f>'Tube wts'!E32</f>
        <v>N</v>
      </c>
      <c r="F40" s="61">
        <f>'Tube wts'!F32</f>
        <v>0.98540000000000005</v>
      </c>
      <c r="G40" s="61">
        <f>'Tube wts'!G32</f>
        <v>1.0052000000000001</v>
      </c>
      <c r="H40" s="70">
        <f t="shared" si="40"/>
        <v>1.980000000000004E-2</v>
      </c>
      <c r="I40" s="70">
        <f t="shared" si="6"/>
        <v>178.20000000000036</v>
      </c>
      <c r="J40" s="73" t="s">
        <v>191</v>
      </c>
      <c r="K40" s="73">
        <v>159</v>
      </c>
      <c r="L40" s="73">
        <v>15</v>
      </c>
      <c r="M40" s="73">
        <v>2</v>
      </c>
      <c r="N40" s="73" t="s">
        <v>96</v>
      </c>
      <c r="O40" s="73" t="s">
        <v>96</v>
      </c>
      <c r="P40" s="73">
        <v>50</v>
      </c>
      <c r="Q40" s="74">
        <f t="shared" si="7"/>
        <v>20</v>
      </c>
      <c r="R40" s="75"/>
      <c r="S40" s="36">
        <f t="shared" si="43"/>
        <v>318000</v>
      </c>
      <c r="T40" s="75">
        <f t="shared" si="34"/>
        <v>300000</v>
      </c>
      <c r="U40" s="75">
        <f t="shared" si="44"/>
        <v>400000</v>
      </c>
      <c r="V40" s="75"/>
      <c r="W40" s="75"/>
      <c r="X40" s="77"/>
      <c r="Y40" s="95">
        <f t="shared" si="17"/>
        <v>339333.33333333331</v>
      </c>
    </row>
    <row r="41" spans="1:26" customFormat="1" ht="17" thickBot="1" x14ac:dyDescent="0.25">
      <c r="A41" s="81" t="s">
        <v>7</v>
      </c>
      <c r="B41" s="82">
        <v>3</v>
      </c>
      <c r="C41" s="127">
        <f t="shared" si="38"/>
        <v>43626</v>
      </c>
      <c r="D41" s="61" t="str">
        <f>'Tube wts'!D33</f>
        <v>l_4_R</v>
      </c>
      <c r="E41" s="61" t="str">
        <f>'Tube wts'!E33</f>
        <v>1R</v>
      </c>
      <c r="F41" s="61">
        <f>'Tube wts'!F33</f>
        <v>0.98399999999999999</v>
      </c>
      <c r="G41" s="61">
        <f>'Tube wts'!G33</f>
        <v>0.99870000000000003</v>
      </c>
      <c r="H41" s="82">
        <f t="shared" si="40"/>
        <v>1.4700000000000046E-2</v>
      </c>
      <c r="I41" s="82">
        <f t="shared" si="6"/>
        <v>132.30000000000041</v>
      </c>
      <c r="J41" s="86">
        <v>3</v>
      </c>
      <c r="K41" s="86">
        <v>1</v>
      </c>
      <c r="L41" s="86">
        <v>0</v>
      </c>
      <c r="M41" s="86">
        <v>0</v>
      </c>
      <c r="N41" s="86" t="s">
        <v>96</v>
      </c>
      <c r="O41" s="86" t="s">
        <v>96</v>
      </c>
      <c r="P41" s="85">
        <v>50</v>
      </c>
      <c r="Q41" s="87">
        <f t="shared" si="7"/>
        <v>20</v>
      </c>
      <c r="R41" s="75">
        <f t="shared" si="42"/>
        <v>600</v>
      </c>
      <c r="S41" s="36">
        <f t="shared" si="43"/>
        <v>2000</v>
      </c>
      <c r="T41" s="88"/>
      <c r="U41" s="88"/>
      <c r="V41" s="88"/>
      <c r="W41" s="88"/>
      <c r="X41" s="77"/>
      <c r="Y41" s="95">
        <f t="shared" si="17"/>
        <v>1300</v>
      </c>
    </row>
    <row r="42" spans="1:26" customFormat="1" x14ac:dyDescent="0.2">
      <c r="A42" s="172" t="s">
        <v>194</v>
      </c>
      <c r="B42" s="126">
        <f>B44</f>
        <v>4</v>
      </c>
      <c r="C42" s="180">
        <f>C44</f>
        <v>43627</v>
      </c>
      <c r="D42" s="61" t="s">
        <v>192</v>
      </c>
      <c r="E42" s="61" t="s">
        <v>39</v>
      </c>
      <c r="F42" s="61">
        <f>'Tube wts'!N10</f>
        <v>0.98150000000000004</v>
      </c>
      <c r="G42" s="61">
        <f>'Tube wts'!O10</f>
        <v>1.0047999999999999</v>
      </c>
      <c r="H42" s="60">
        <f t="shared" si="40"/>
        <v>2.3299999999999876E-2</v>
      </c>
      <c r="I42" s="60">
        <f t="shared" si="6"/>
        <v>209.69999999999888</v>
      </c>
      <c r="J42" s="174" t="s">
        <v>96</v>
      </c>
      <c r="K42" s="174">
        <v>2</v>
      </c>
      <c r="L42" s="174">
        <v>0</v>
      </c>
      <c r="M42" s="174">
        <v>0</v>
      </c>
      <c r="N42" s="174">
        <v>0</v>
      </c>
      <c r="O42" s="174" t="s">
        <v>96</v>
      </c>
      <c r="P42" s="175">
        <v>50</v>
      </c>
      <c r="Q42" s="61">
        <f t="shared" si="7"/>
        <v>20</v>
      </c>
      <c r="R42" s="75"/>
      <c r="S42" s="75">
        <f t="shared" ref="S42:S50" si="45">Q42 * (1/10^-2) *K42</f>
        <v>4000</v>
      </c>
      <c r="T42" s="177"/>
      <c r="U42" s="177"/>
      <c r="V42" s="177"/>
      <c r="W42" s="177"/>
      <c r="X42" s="77"/>
      <c r="Y42" s="95">
        <f t="shared" si="17"/>
        <v>4000</v>
      </c>
    </row>
    <row r="43" spans="1:26" customFormat="1" ht="17" thickBot="1" x14ac:dyDescent="0.25">
      <c r="A43" s="172" t="s">
        <v>194</v>
      </c>
      <c r="B43" s="126">
        <f>B44</f>
        <v>4</v>
      </c>
      <c r="C43" s="180">
        <f>C44</f>
        <v>43627</v>
      </c>
      <c r="D43" s="61" t="s">
        <v>193</v>
      </c>
      <c r="E43" s="61" t="s">
        <v>39</v>
      </c>
      <c r="F43" s="61">
        <f>'Tube wts'!N11</f>
        <v>0.98650000000000004</v>
      </c>
      <c r="G43" s="61">
        <f>'Tube wts'!O11</f>
        <v>1.0101</v>
      </c>
      <c r="H43" s="60">
        <f t="shared" si="40"/>
        <v>2.3599999999999954E-2</v>
      </c>
      <c r="I43" s="60">
        <f t="shared" si="6"/>
        <v>212.39999999999958</v>
      </c>
      <c r="J43" s="178" t="s">
        <v>96</v>
      </c>
      <c r="K43" s="74" t="s">
        <v>191</v>
      </c>
      <c r="L43" s="74">
        <v>257</v>
      </c>
      <c r="M43" s="74">
        <v>20</v>
      </c>
      <c r="N43" s="74">
        <v>5</v>
      </c>
      <c r="O43" s="74" t="s">
        <v>96</v>
      </c>
      <c r="P43" s="175">
        <v>50</v>
      </c>
      <c r="Q43" s="61">
        <f t="shared" si="7"/>
        <v>20</v>
      </c>
      <c r="R43" s="75"/>
      <c r="S43" s="36"/>
      <c r="T43" s="75">
        <f t="shared" si="34"/>
        <v>5140000</v>
      </c>
      <c r="U43" s="36">
        <f t="shared" ref="U43:V43" si="46">Q43 * (1/10^-4) *M43</f>
        <v>4000000</v>
      </c>
      <c r="V43" s="36">
        <f t="shared" si="46"/>
        <v>0</v>
      </c>
      <c r="W43" s="177"/>
      <c r="X43" s="77"/>
      <c r="Y43" s="95">
        <f t="shared" si="17"/>
        <v>3046666.6666666665</v>
      </c>
    </row>
    <row r="44" spans="1:26" customFormat="1" x14ac:dyDescent="0.2">
      <c r="A44" s="20" t="s">
        <v>70</v>
      </c>
      <c r="B44" s="60">
        <v>4</v>
      </c>
      <c r="C44" s="131">
        <f t="shared" ref="C44:C51" si="47">C34+1</f>
        <v>43627</v>
      </c>
      <c r="D44" s="61" t="str">
        <f>'Tube wts'!D34</f>
        <v>nt_4_0</v>
      </c>
      <c r="E44" s="61" t="str">
        <f>'Tube wts'!E34</f>
        <v>N</v>
      </c>
      <c r="F44" s="61">
        <f>'Tube wts'!F34</f>
        <v>0.9889</v>
      </c>
      <c r="G44" s="61">
        <f>'Tube wts'!G34</f>
        <v>1.0141</v>
      </c>
      <c r="H44" s="60">
        <f>G44-F44</f>
        <v>2.52E-2</v>
      </c>
      <c r="I44" s="60">
        <f>H44*9000</f>
        <v>226.8</v>
      </c>
      <c r="J44" s="60">
        <v>25</v>
      </c>
      <c r="K44" s="61">
        <v>0</v>
      </c>
      <c r="L44" s="61">
        <v>1</v>
      </c>
      <c r="M44" s="61" t="s">
        <v>96</v>
      </c>
      <c r="N44" s="61" t="s">
        <v>96</v>
      </c>
      <c r="O44" s="61" t="s">
        <v>96</v>
      </c>
      <c r="P44" s="61">
        <v>50</v>
      </c>
      <c r="Q44" s="61">
        <f>1/(P44/1000)</f>
        <v>20</v>
      </c>
      <c r="R44" s="75">
        <f t="shared" ref="R44:R52" si="48">Q44 * (1/10^-1) *J44</f>
        <v>5000</v>
      </c>
      <c r="S44" s="75">
        <f t="shared" si="45"/>
        <v>0</v>
      </c>
      <c r="T44" s="75">
        <f t="shared" si="34"/>
        <v>20000</v>
      </c>
      <c r="U44" s="36"/>
      <c r="V44" s="36"/>
      <c r="W44" s="36"/>
      <c r="X44" s="94"/>
      <c r="Y44" s="95">
        <f t="shared" si="17"/>
        <v>8333.3333333333339</v>
      </c>
    </row>
    <row r="45" spans="1:26" customFormat="1" x14ac:dyDescent="0.2">
      <c r="A45" s="57" t="s">
        <v>70</v>
      </c>
      <c r="B45" s="58">
        <v>4</v>
      </c>
      <c r="C45" s="93">
        <f t="shared" si="47"/>
        <v>43627</v>
      </c>
      <c r="D45" s="61" t="str">
        <f>'Tube wts'!D35</f>
        <v>nt_4_R</v>
      </c>
      <c r="E45" s="61" t="str">
        <f>'Tube wts'!E35</f>
        <v>1R</v>
      </c>
      <c r="F45" s="61">
        <f>'Tube wts'!F35</f>
        <v>0.98250000000000004</v>
      </c>
      <c r="G45" s="61">
        <f>'Tube wts'!G35</f>
        <v>1.0059</v>
      </c>
      <c r="H45" s="58">
        <f t="shared" ref="H45:H53" si="49">G45-F45</f>
        <v>2.3399999999999976E-2</v>
      </c>
      <c r="I45" s="58">
        <f t="shared" si="6"/>
        <v>210.5999999999998</v>
      </c>
      <c r="J45" s="26">
        <v>0</v>
      </c>
      <c r="K45" s="26">
        <v>1</v>
      </c>
      <c r="L45" s="26">
        <v>0</v>
      </c>
      <c r="M45" s="26" t="s">
        <v>96</v>
      </c>
      <c r="N45" s="26" t="s">
        <v>96</v>
      </c>
      <c r="O45" s="26" t="s">
        <v>96</v>
      </c>
      <c r="P45" s="26">
        <v>50</v>
      </c>
      <c r="Q45" s="61">
        <f t="shared" si="7"/>
        <v>20</v>
      </c>
      <c r="R45" s="75">
        <f t="shared" si="48"/>
        <v>0</v>
      </c>
      <c r="S45" s="75">
        <f t="shared" si="45"/>
        <v>2000</v>
      </c>
      <c r="T45" s="36"/>
      <c r="U45" s="36"/>
      <c r="V45" s="36"/>
      <c r="W45" s="36"/>
      <c r="X45" s="77"/>
      <c r="Y45" s="95">
        <f t="shared" si="17"/>
        <v>1000</v>
      </c>
    </row>
    <row r="46" spans="1:26" customFormat="1" x14ac:dyDescent="0.2">
      <c r="A46" s="69" t="s">
        <v>27</v>
      </c>
      <c r="B46" s="70">
        <v>4</v>
      </c>
      <c r="C46" s="93">
        <f t="shared" si="47"/>
        <v>43627</v>
      </c>
      <c r="D46" s="61" t="str">
        <f>'Tube wts'!D36</f>
        <v>f_4_0</v>
      </c>
      <c r="E46" s="61" t="str">
        <f>'Tube wts'!E36</f>
        <v>N</v>
      </c>
      <c r="F46" s="61">
        <f>'Tube wts'!F36</f>
        <v>0.98609999999999998</v>
      </c>
      <c r="G46" s="61">
        <f>'Tube wts'!G36</f>
        <v>1.01</v>
      </c>
      <c r="H46" s="70">
        <f t="shared" si="49"/>
        <v>2.3900000000000032E-2</v>
      </c>
      <c r="I46" s="70">
        <f t="shared" si="6"/>
        <v>215.10000000000028</v>
      </c>
      <c r="J46" s="73">
        <v>0</v>
      </c>
      <c r="K46" s="73" t="s">
        <v>96</v>
      </c>
      <c r="L46" s="73" t="s">
        <v>96</v>
      </c>
      <c r="M46" s="73" t="s">
        <v>96</v>
      </c>
      <c r="N46" s="73" t="s">
        <v>96</v>
      </c>
      <c r="O46" s="73" t="s">
        <v>96</v>
      </c>
      <c r="P46" s="73">
        <v>50</v>
      </c>
      <c r="Q46" s="74">
        <f t="shared" si="7"/>
        <v>20</v>
      </c>
      <c r="R46" s="75">
        <f t="shared" si="48"/>
        <v>0</v>
      </c>
      <c r="S46" s="75"/>
      <c r="T46" s="75"/>
      <c r="U46" s="75"/>
      <c r="V46" s="75"/>
      <c r="W46" s="75"/>
      <c r="X46" s="79"/>
      <c r="Y46" s="95">
        <f t="shared" si="17"/>
        <v>0</v>
      </c>
    </row>
    <row r="47" spans="1:26" customFormat="1" x14ac:dyDescent="0.2">
      <c r="A47" s="69" t="s">
        <v>27</v>
      </c>
      <c r="B47" s="70">
        <v>4</v>
      </c>
      <c r="C47" s="93">
        <f t="shared" si="47"/>
        <v>43627</v>
      </c>
      <c r="D47" s="61" t="str">
        <f>'Tube wts'!D37</f>
        <v>f_4_R</v>
      </c>
      <c r="E47" s="61" t="str">
        <f>'Tube wts'!E37</f>
        <v>1R</v>
      </c>
      <c r="F47" s="61">
        <f>'Tube wts'!F37</f>
        <v>0.99160000000000004</v>
      </c>
      <c r="G47" s="61">
        <f>'Tube wts'!G37</f>
        <v>1.0150999999999999</v>
      </c>
      <c r="H47" s="70">
        <f t="shared" si="49"/>
        <v>2.3499999999999854E-2</v>
      </c>
      <c r="I47" s="70">
        <f t="shared" si="6"/>
        <v>211.49999999999869</v>
      </c>
      <c r="J47" s="73">
        <v>0</v>
      </c>
      <c r="K47" s="73" t="s">
        <v>96</v>
      </c>
      <c r="L47" s="73" t="s">
        <v>96</v>
      </c>
      <c r="M47" s="73" t="s">
        <v>96</v>
      </c>
      <c r="N47" s="73" t="s">
        <v>96</v>
      </c>
      <c r="O47" s="73" t="s">
        <v>96</v>
      </c>
      <c r="P47" s="73">
        <v>50</v>
      </c>
      <c r="Q47" s="74">
        <f t="shared" si="7"/>
        <v>20</v>
      </c>
      <c r="R47" s="75">
        <f t="shared" si="48"/>
        <v>0</v>
      </c>
      <c r="S47" s="75"/>
      <c r="T47" s="75"/>
      <c r="U47" s="75"/>
      <c r="V47" s="75"/>
      <c r="W47" s="75"/>
      <c r="X47" s="79"/>
      <c r="Y47" s="95">
        <f t="shared" si="17"/>
        <v>0</v>
      </c>
    </row>
    <row r="48" spans="1:26" customFormat="1" x14ac:dyDescent="0.2">
      <c r="A48" s="57" t="s">
        <v>73</v>
      </c>
      <c r="B48" s="58">
        <v>4</v>
      </c>
      <c r="C48" s="93">
        <f t="shared" si="47"/>
        <v>43627</v>
      </c>
      <c r="D48" s="61" t="str">
        <f>'Tube wts'!D38</f>
        <v>m_4_0</v>
      </c>
      <c r="E48" s="61" t="str">
        <f>'Tube wts'!E38</f>
        <v>N</v>
      </c>
      <c r="F48" s="61">
        <f>'Tube wts'!F38</f>
        <v>0.98550000000000004</v>
      </c>
      <c r="G48" s="61">
        <f>'Tube wts'!G38</f>
        <v>1.0170999999999999</v>
      </c>
      <c r="H48" s="58">
        <f t="shared" si="49"/>
        <v>3.159999999999985E-2</v>
      </c>
      <c r="I48" s="58">
        <f t="shared" si="6"/>
        <v>284.39999999999867</v>
      </c>
      <c r="J48" s="26">
        <v>0</v>
      </c>
      <c r="K48" s="26">
        <v>0</v>
      </c>
      <c r="L48" s="26">
        <v>0</v>
      </c>
      <c r="M48" s="26" t="s">
        <v>96</v>
      </c>
      <c r="N48" s="26" t="s">
        <v>96</v>
      </c>
      <c r="O48" s="26" t="s">
        <v>96</v>
      </c>
      <c r="P48" s="26">
        <v>50</v>
      </c>
      <c r="Q48" s="61">
        <f t="shared" si="7"/>
        <v>20</v>
      </c>
      <c r="R48" s="75">
        <f t="shared" si="48"/>
        <v>0</v>
      </c>
      <c r="S48" s="36">
        <f t="shared" si="45"/>
        <v>0</v>
      </c>
      <c r="T48" s="36">
        <f t="shared" si="34"/>
        <v>0</v>
      </c>
      <c r="U48" s="36"/>
      <c r="V48" s="36"/>
      <c r="W48" s="36"/>
      <c r="X48" s="77"/>
      <c r="Y48" s="95">
        <f t="shared" si="17"/>
        <v>0</v>
      </c>
    </row>
    <row r="49" spans="1:25" customFormat="1" x14ac:dyDescent="0.2">
      <c r="A49" s="57" t="s">
        <v>73</v>
      </c>
      <c r="B49" s="58">
        <v>4</v>
      </c>
      <c r="C49" s="93">
        <f t="shared" si="47"/>
        <v>43627</v>
      </c>
      <c r="D49" s="61" t="str">
        <f>'Tube wts'!D39</f>
        <v>m_4_R</v>
      </c>
      <c r="E49" s="61" t="str">
        <f>'Tube wts'!E39</f>
        <v>1R</v>
      </c>
      <c r="F49" s="61">
        <f>'Tube wts'!F39</f>
        <v>0.98650000000000004</v>
      </c>
      <c r="G49" s="61">
        <f>'Tube wts'!G39</f>
        <v>1.0087999999999999</v>
      </c>
      <c r="H49" s="58">
        <f t="shared" si="49"/>
        <v>2.2299999999999875E-2</v>
      </c>
      <c r="I49" s="58">
        <f t="shared" si="6"/>
        <v>200.69999999999888</v>
      </c>
      <c r="J49" s="26">
        <v>0</v>
      </c>
      <c r="K49" s="26" t="s">
        <v>96</v>
      </c>
      <c r="L49" s="26" t="s">
        <v>96</v>
      </c>
      <c r="M49" s="26" t="s">
        <v>96</v>
      </c>
      <c r="N49" s="26" t="s">
        <v>96</v>
      </c>
      <c r="O49" s="26" t="s">
        <v>96</v>
      </c>
      <c r="P49" s="26">
        <v>50</v>
      </c>
      <c r="Q49" s="61">
        <f t="shared" si="7"/>
        <v>20</v>
      </c>
      <c r="R49" s="75">
        <f t="shared" si="48"/>
        <v>0</v>
      </c>
      <c r="S49" s="36"/>
      <c r="T49" s="36"/>
      <c r="U49" s="36"/>
      <c r="V49" s="36"/>
      <c r="W49" s="36"/>
      <c r="X49" s="77"/>
      <c r="Y49" s="95">
        <f t="shared" si="17"/>
        <v>0</v>
      </c>
    </row>
    <row r="50" spans="1:25" customFormat="1" x14ac:dyDescent="0.2">
      <c r="A50" s="69" t="s">
        <v>7</v>
      </c>
      <c r="B50" s="70">
        <v>4</v>
      </c>
      <c r="C50" s="93">
        <f t="shared" si="47"/>
        <v>43627</v>
      </c>
      <c r="D50" s="61" t="str">
        <f>'Tube wts'!D40</f>
        <v>l_4_0</v>
      </c>
      <c r="E50" s="61" t="str">
        <f>'Tube wts'!E40</f>
        <v>N</v>
      </c>
      <c r="F50" s="61">
        <f>'Tube wts'!F40</f>
        <v>0.99350000000000005</v>
      </c>
      <c r="G50" s="61">
        <f>'Tube wts'!G40</f>
        <v>1.0079</v>
      </c>
      <c r="H50" s="70">
        <f t="shared" si="49"/>
        <v>1.4399999999999968E-2</v>
      </c>
      <c r="I50" s="70">
        <f t="shared" si="6"/>
        <v>129.59999999999971</v>
      </c>
      <c r="J50" s="73">
        <v>0</v>
      </c>
      <c r="K50" s="73">
        <v>3</v>
      </c>
      <c r="L50" s="73">
        <v>0</v>
      </c>
      <c r="M50" s="73" t="s">
        <v>96</v>
      </c>
      <c r="N50" s="73" t="s">
        <v>96</v>
      </c>
      <c r="O50" s="73" t="s">
        <v>96</v>
      </c>
      <c r="P50" s="73">
        <v>50</v>
      </c>
      <c r="Q50" s="74">
        <f t="shared" si="7"/>
        <v>20</v>
      </c>
      <c r="R50" s="75">
        <f t="shared" si="48"/>
        <v>0</v>
      </c>
      <c r="S50" s="36">
        <f t="shared" si="45"/>
        <v>6000</v>
      </c>
      <c r="T50" s="75"/>
      <c r="U50" s="75"/>
      <c r="V50" s="75"/>
      <c r="W50" s="75"/>
      <c r="X50" s="79"/>
      <c r="Y50" s="95">
        <f t="shared" si="17"/>
        <v>3000</v>
      </c>
    </row>
    <row r="51" spans="1:25" customFormat="1" ht="17" thickBot="1" x14ac:dyDescent="0.25">
      <c r="A51" s="81" t="s">
        <v>7</v>
      </c>
      <c r="B51" s="82">
        <v>4</v>
      </c>
      <c r="C51" s="140">
        <f t="shared" si="47"/>
        <v>43627</v>
      </c>
      <c r="D51" s="61" t="str">
        <f>'Tube wts'!D41</f>
        <v>l_4_R</v>
      </c>
      <c r="E51" s="61" t="str">
        <f>'Tube wts'!E41</f>
        <v>1R</v>
      </c>
      <c r="F51" s="61">
        <f>'Tube wts'!F41</f>
        <v>0.98140000000000005</v>
      </c>
      <c r="G51" s="61">
        <f>'Tube wts'!G41</f>
        <v>1.0167999999999999</v>
      </c>
      <c r="H51" s="82">
        <f t="shared" si="49"/>
        <v>3.5399999999999876E-2</v>
      </c>
      <c r="I51" s="82">
        <f t="shared" si="6"/>
        <v>318.59999999999889</v>
      </c>
      <c r="J51" s="86">
        <v>0</v>
      </c>
      <c r="K51" s="86" t="s">
        <v>96</v>
      </c>
      <c r="L51" s="86" t="s">
        <v>96</v>
      </c>
      <c r="M51" s="86" t="s">
        <v>96</v>
      </c>
      <c r="N51" s="86" t="s">
        <v>96</v>
      </c>
      <c r="O51" s="86" t="s">
        <v>96</v>
      </c>
      <c r="P51" s="85">
        <v>50</v>
      </c>
      <c r="Q51" s="87">
        <f t="shared" si="7"/>
        <v>20</v>
      </c>
      <c r="R51" s="75">
        <f t="shared" si="48"/>
        <v>0</v>
      </c>
      <c r="S51" s="88"/>
      <c r="T51" s="88"/>
      <c r="U51" s="88"/>
      <c r="V51" s="88"/>
      <c r="W51" s="88"/>
      <c r="X51" s="89"/>
      <c r="Y51" s="95">
        <f t="shared" si="17"/>
        <v>0</v>
      </c>
    </row>
    <row r="52" spans="1:25" customFormat="1" x14ac:dyDescent="0.2">
      <c r="A52" s="172" t="s">
        <v>194</v>
      </c>
      <c r="B52" s="126">
        <f>B54</f>
        <v>5</v>
      </c>
      <c r="C52" s="180">
        <f>C54</f>
        <v>43628</v>
      </c>
      <c r="D52" s="61" t="s">
        <v>192</v>
      </c>
      <c r="E52" s="61" t="s">
        <v>39</v>
      </c>
      <c r="F52" s="61">
        <f>'Tube wts'!N12</f>
        <v>0.98219999999999996</v>
      </c>
      <c r="G52" s="61">
        <f>'Tube wts'!O12</f>
        <v>0.99760000000000004</v>
      </c>
      <c r="H52" s="60">
        <f t="shared" si="49"/>
        <v>1.540000000000008E-2</v>
      </c>
      <c r="I52" s="60">
        <f t="shared" si="6"/>
        <v>138.60000000000073</v>
      </c>
      <c r="J52" s="174">
        <v>1</v>
      </c>
      <c r="K52" s="174" t="s">
        <v>96</v>
      </c>
      <c r="L52" s="174" t="s">
        <v>96</v>
      </c>
      <c r="M52" s="174" t="s">
        <v>96</v>
      </c>
      <c r="N52" s="174" t="s">
        <v>96</v>
      </c>
      <c r="O52" s="174" t="s">
        <v>96</v>
      </c>
      <c r="P52" s="175">
        <v>50</v>
      </c>
      <c r="Q52" s="61">
        <f t="shared" si="7"/>
        <v>20</v>
      </c>
      <c r="R52" s="177">
        <f t="shared" si="48"/>
        <v>200</v>
      </c>
      <c r="S52" s="177"/>
      <c r="T52" s="177"/>
      <c r="U52" s="177"/>
      <c r="V52" s="177"/>
      <c r="W52" s="177"/>
      <c r="X52" s="79"/>
      <c r="Y52" s="95">
        <f t="shared" si="17"/>
        <v>200</v>
      </c>
    </row>
    <row r="53" spans="1:25" customFormat="1" x14ac:dyDescent="0.2">
      <c r="A53" s="172" t="s">
        <v>194</v>
      </c>
      <c r="B53" s="126">
        <f>B54</f>
        <v>5</v>
      </c>
      <c r="C53" s="180">
        <f>C54</f>
        <v>43628</v>
      </c>
      <c r="D53" s="61" t="s">
        <v>193</v>
      </c>
      <c r="E53" s="61" t="s">
        <v>39</v>
      </c>
      <c r="F53" s="61">
        <f>'Tube wts'!N13</f>
        <v>0.98309999999999997</v>
      </c>
      <c r="G53" s="61">
        <f>'Tube wts'!O13</f>
        <v>1.0018</v>
      </c>
      <c r="H53" s="60">
        <f t="shared" si="49"/>
        <v>1.870000000000005E-2</v>
      </c>
      <c r="I53" s="60">
        <f t="shared" si="6"/>
        <v>168.30000000000044</v>
      </c>
      <c r="J53" s="174" t="s">
        <v>191</v>
      </c>
      <c r="K53" s="174" t="s">
        <v>191</v>
      </c>
      <c r="L53" s="174">
        <v>188</v>
      </c>
      <c r="M53" s="174">
        <v>19</v>
      </c>
      <c r="N53" s="174">
        <v>4</v>
      </c>
      <c r="O53" s="174" t="s">
        <v>96</v>
      </c>
      <c r="P53" s="175">
        <v>50</v>
      </c>
      <c r="Q53" s="61">
        <f t="shared" si="7"/>
        <v>20</v>
      </c>
      <c r="R53" s="177"/>
      <c r="S53" s="177"/>
      <c r="T53" s="36">
        <f t="shared" si="34"/>
        <v>3760000</v>
      </c>
      <c r="U53" s="36">
        <f t="shared" ref="U53" si="50">Q53 * (1/10^-4) *M53</f>
        <v>3800000</v>
      </c>
      <c r="V53" s="36">
        <f t="shared" ref="V53" si="51">Q53 * (1/10^-5) *N53</f>
        <v>7999999.9999999991</v>
      </c>
      <c r="W53" s="177"/>
      <c r="X53" s="79"/>
      <c r="Y53" s="95">
        <f t="shared" si="17"/>
        <v>5186666.666666667</v>
      </c>
    </row>
    <row r="54" spans="1:25" customFormat="1" x14ac:dyDescent="0.2">
      <c r="A54" s="20" t="s">
        <v>70</v>
      </c>
      <c r="B54" s="60">
        <v>5</v>
      </c>
      <c r="C54" s="59">
        <f t="shared" ref="C54:C61" si="52">C44+1</f>
        <v>43628</v>
      </c>
      <c r="D54" s="61" t="str">
        <f>'Tube wts'!D42</f>
        <v>nt_4_0</v>
      </c>
      <c r="E54" s="61" t="str">
        <f>'Tube wts'!E42</f>
        <v>N</v>
      </c>
      <c r="F54" s="61">
        <f>'Tube wts'!F42</f>
        <v>0.99370000000000003</v>
      </c>
      <c r="G54" s="61">
        <f>'Tube wts'!G42</f>
        <v>1.0150999999999999</v>
      </c>
      <c r="H54" s="60">
        <f>G54-F54</f>
        <v>2.1399999999999864E-2</v>
      </c>
      <c r="I54" s="60">
        <f>H54*9000</f>
        <v>192.59999999999877</v>
      </c>
      <c r="J54" s="26">
        <v>68</v>
      </c>
      <c r="K54" s="26" t="s">
        <v>96</v>
      </c>
      <c r="L54" s="26" t="s">
        <v>96</v>
      </c>
      <c r="M54" s="26" t="s">
        <v>96</v>
      </c>
      <c r="N54" s="26" t="s">
        <v>96</v>
      </c>
      <c r="O54" s="26" t="s">
        <v>96</v>
      </c>
      <c r="P54" s="61">
        <v>50</v>
      </c>
      <c r="Q54" s="61">
        <f>1/(P54/1000)</f>
        <v>20</v>
      </c>
      <c r="R54" s="75">
        <f t="shared" ref="R54:R61" si="53">Q54 * (1/10^-1) *J54</f>
        <v>13600</v>
      </c>
      <c r="S54" s="36"/>
      <c r="T54" s="36"/>
      <c r="U54" s="36"/>
      <c r="V54" s="36"/>
      <c r="W54" s="36"/>
      <c r="X54" s="94"/>
      <c r="Y54" s="95">
        <f t="shared" si="17"/>
        <v>13600</v>
      </c>
    </row>
    <row r="55" spans="1:25" customFormat="1" x14ac:dyDescent="0.2">
      <c r="A55" s="57" t="s">
        <v>70</v>
      </c>
      <c r="B55" s="58">
        <v>5</v>
      </c>
      <c r="C55" s="93">
        <f t="shared" si="52"/>
        <v>43628</v>
      </c>
      <c r="D55" s="61" t="str">
        <f>'Tube wts'!D43</f>
        <v>nt_4_R</v>
      </c>
      <c r="E55" s="61" t="str">
        <f>'Tube wts'!E43</f>
        <v>1R</v>
      </c>
      <c r="F55" s="61">
        <f>'Tube wts'!F43</f>
        <v>0.98150000000000004</v>
      </c>
      <c r="G55" s="61">
        <f>'Tube wts'!G43</f>
        <v>0.99670000000000003</v>
      </c>
      <c r="H55" s="58">
        <f t="shared" ref="H55:H61" si="54">G55-F55</f>
        <v>1.5199999999999991E-2</v>
      </c>
      <c r="I55" s="58">
        <f t="shared" si="6"/>
        <v>136.79999999999993</v>
      </c>
      <c r="J55" s="26">
        <v>31</v>
      </c>
      <c r="K55" s="26" t="s">
        <v>96</v>
      </c>
      <c r="L55" s="26" t="s">
        <v>96</v>
      </c>
      <c r="M55" s="26" t="s">
        <v>96</v>
      </c>
      <c r="N55" s="26" t="s">
        <v>96</v>
      </c>
      <c r="O55" s="26" t="s">
        <v>96</v>
      </c>
      <c r="P55" s="26">
        <v>50</v>
      </c>
      <c r="Q55" s="61">
        <f t="shared" si="7"/>
        <v>20</v>
      </c>
      <c r="R55" s="75">
        <f t="shared" si="53"/>
        <v>6200</v>
      </c>
      <c r="S55" s="36"/>
      <c r="T55" s="36"/>
      <c r="U55" s="36"/>
      <c r="V55" s="36"/>
      <c r="W55" s="36"/>
      <c r="X55" s="77"/>
      <c r="Y55" s="95">
        <f t="shared" si="17"/>
        <v>6200</v>
      </c>
    </row>
    <row r="56" spans="1:25" customFormat="1" x14ac:dyDescent="0.2">
      <c r="A56" s="69" t="s">
        <v>27</v>
      </c>
      <c r="B56" s="70">
        <v>5</v>
      </c>
      <c r="C56" s="93">
        <f t="shared" si="52"/>
        <v>43628</v>
      </c>
      <c r="D56" s="61" t="str">
        <f>'Tube wts'!D44</f>
        <v>f_4_0</v>
      </c>
      <c r="E56" s="61" t="str">
        <f>'Tube wts'!E44</f>
        <v>N</v>
      </c>
      <c r="F56" s="61">
        <f>'Tube wts'!F44</f>
        <v>0.98089999999999999</v>
      </c>
      <c r="G56" s="61">
        <f>'Tube wts'!G44</f>
        <v>1.0327</v>
      </c>
      <c r="H56" s="70">
        <f t="shared" si="54"/>
        <v>5.1799999999999957E-2</v>
      </c>
      <c r="I56" s="70">
        <f t="shared" si="6"/>
        <v>466.19999999999959</v>
      </c>
      <c r="J56" s="73">
        <v>0</v>
      </c>
      <c r="K56" s="73" t="s">
        <v>96</v>
      </c>
      <c r="L56" s="73" t="s">
        <v>96</v>
      </c>
      <c r="M56" s="73" t="s">
        <v>96</v>
      </c>
      <c r="N56" s="73" t="s">
        <v>96</v>
      </c>
      <c r="O56" s="73" t="s">
        <v>96</v>
      </c>
      <c r="P56" s="73">
        <v>50</v>
      </c>
      <c r="Q56" s="74">
        <f t="shared" si="7"/>
        <v>20</v>
      </c>
      <c r="R56" s="75">
        <f t="shared" si="53"/>
        <v>0</v>
      </c>
      <c r="S56" s="75"/>
      <c r="T56" s="75"/>
      <c r="U56" s="75"/>
      <c r="V56" s="75"/>
      <c r="W56" s="75"/>
      <c r="X56" s="79"/>
      <c r="Y56" s="95">
        <f t="shared" si="17"/>
        <v>0</v>
      </c>
    </row>
    <row r="57" spans="1:25" customFormat="1" x14ac:dyDescent="0.2">
      <c r="A57" s="69" t="s">
        <v>27</v>
      </c>
      <c r="B57" s="70">
        <v>5</v>
      </c>
      <c r="C57" s="93">
        <f t="shared" si="52"/>
        <v>43628</v>
      </c>
      <c r="D57" s="61" t="str">
        <f>'Tube wts'!D45</f>
        <v>f_4_R</v>
      </c>
      <c r="E57" s="61" t="str">
        <f>'Tube wts'!E45</f>
        <v>1R</v>
      </c>
      <c r="F57" s="61">
        <f>'Tube wts'!F45</f>
        <v>0.98619999999999997</v>
      </c>
      <c r="G57" s="61">
        <f>'Tube wts'!G45</f>
        <v>1.0426</v>
      </c>
      <c r="H57" s="70">
        <f t="shared" si="54"/>
        <v>5.6400000000000006E-2</v>
      </c>
      <c r="I57" s="70">
        <f t="shared" si="6"/>
        <v>507.6</v>
      </c>
      <c r="J57" s="73">
        <v>0</v>
      </c>
      <c r="K57" s="73" t="s">
        <v>96</v>
      </c>
      <c r="L57" s="73" t="s">
        <v>96</v>
      </c>
      <c r="M57" s="73" t="s">
        <v>96</v>
      </c>
      <c r="N57" s="73" t="s">
        <v>96</v>
      </c>
      <c r="O57" s="73" t="s">
        <v>96</v>
      </c>
      <c r="P57" s="73">
        <v>50</v>
      </c>
      <c r="Q57" s="74">
        <f t="shared" si="7"/>
        <v>20</v>
      </c>
      <c r="R57" s="75">
        <f t="shared" si="53"/>
        <v>0</v>
      </c>
      <c r="S57" s="75"/>
      <c r="T57" s="75"/>
      <c r="U57" s="75"/>
      <c r="V57" s="75"/>
      <c r="W57" s="75"/>
      <c r="X57" s="79"/>
      <c r="Y57" s="95">
        <f t="shared" si="17"/>
        <v>0</v>
      </c>
    </row>
    <row r="58" spans="1:25" customFormat="1" x14ac:dyDescent="0.2">
      <c r="A58" s="57" t="s">
        <v>73</v>
      </c>
      <c r="B58" s="58">
        <v>5</v>
      </c>
      <c r="C58" s="93">
        <f t="shared" si="52"/>
        <v>43628</v>
      </c>
      <c r="D58" s="61" t="str">
        <f>'Tube wts'!D46</f>
        <v>m_4_0</v>
      </c>
      <c r="E58" s="61" t="str">
        <f>'Tube wts'!E46</f>
        <v>N</v>
      </c>
      <c r="F58" s="61">
        <f>'Tube wts'!F46</f>
        <v>0.98209999999999997</v>
      </c>
      <c r="G58" s="61">
        <f>'Tube wts'!G46</f>
        <v>1.004</v>
      </c>
      <c r="H58" s="58">
        <f t="shared" si="54"/>
        <v>2.1900000000000031E-2</v>
      </c>
      <c r="I58" s="58">
        <f t="shared" si="6"/>
        <v>197.10000000000028</v>
      </c>
      <c r="J58" s="26">
        <v>0</v>
      </c>
      <c r="K58" s="26" t="s">
        <v>96</v>
      </c>
      <c r="L58" s="26" t="s">
        <v>96</v>
      </c>
      <c r="M58" s="26" t="s">
        <v>96</v>
      </c>
      <c r="N58" s="26" t="s">
        <v>96</v>
      </c>
      <c r="O58" s="26" t="s">
        <v>96</v>
      </c>
      <c r="P58" s="26">
        <v>50</v>
      </c>
      <c r="Q58" s="61">
        <f t="shared" si="7"/>
        <v>20</v>
      </c>
      <c r="R58" s="36">
        <f t="shared" si="53"/>
        <v>0</v>
      </c>
      <c r="S58" s="36"/>
      <c r="T58" s="36"/>
      <c r="U58" s="36"/>
      <c r="V58" s="36"/>
      <c r="W58" s="36"/>
      <c r="X58" s="77"/>
      <c r="Y58" s="95">
        <f t="shared" si="17"/>
        <v>0</v>
      </c>
    </row>
    <row r="59" spans="1:25" customFormat="1" x14ac:dyDescent="0.2">
      <c r="A59" s="57" t="s">
        <v>73</v>
      </c>
      <c r="B59" s="58">
        <v>5</v>
      </c>
      <c r="C59" s="93">
        <f t="shared" si="52"/>
        <v>43628</v>
      </c>
      <c r="D59" s="61" t="str">
        <f>'Tube wts'!D47</f>
        <v>m_4_R</v>
      </c>
      <c r="E59" s="61" t="str">
        <f>'Tube wts'!E47</f>
        <v>1R</v>
      </c>
      <c r="F59" s="61">
        <f>'Tube wts'!F47</f>
        <v>0.99319999999999997</v>
      </c>
      <c r="G59" s="61">
        <f>'Tube wts'!G47</f>
        <v>1.0088999999999999</v>
      </c>
      <c r="H59" s="58">
        <f t="shared" si="54"/>
        <v>1.5699999999999936E-2</v>
      </c>
      <c r="I59" s="58">
        <f t="shared" si="6"/>
        <v>141.29999999999941</v>
      </c>
      <c r="J59" s="26">
        <v>0</v>
      </c>
      <c r="K59" s="26" t="s">
        <v>96</v>
      </c>
      <c r="L59" s="26" t="s">
        <v>96</v>
      </c>
      <c r="M59" s="26" t="s">
        <v>96</v>
      </c>
      <c r="N59" s="26" t="s">
        <v>96</v>
      </c>
      <c r="O59" s="26" t="s">
        <v>96</v>
      </c>
      <c r="P59" s="26">
        <v>50</v>
      </c>
      <c r="Q59" s="61">
        <f t="shared" si="7"/>
        <v>20</v>
      </c>
      <c r="R59" s="36">
        <f t="shared" si="53"/>
        <v>0</v>
      </c>
      <c r="S59" s="36"/>
      <c r="T59" s="36"/>
      <c r="U59" s="36"/>
      <c r="V59" s="36"/>
      <c r="W59" s="36"/>
      <c r="X59" s="77"/>
      <c r="Y59" s="95">
        <f t="shared" si="17"/>
        <v>0</v>
      </c>
    </row>
    <row r="60" spans="1:25" customFormat="1" x14ac:dyDescent="0.2">
      <c r="A60" s="69" t="s">
        <v>7</v>
      </c>
      <c r="B60" s="70">
        <v>5</v>
      </c>
      <c r="C60" s="93">
        <f t="shared" si="52"/>
        <v>43628</v>
      </c>
      <c r="D60" s="61" t="str">
        <f>'Tube wts'!D48</f>
        <v>l_4_0</v>
      </c>
      <c r="E60" s="61" t="str">
        <f>'Tube wts'!E48</f>
        <v>N</v>
      </c>
      <c r="F60" s="61">
        <f>'Tube wts'!F48</f>
        <v>0.98850000000000005</v>
      </c>
      <c r="G60" s="61">
        <f>'Tube wts'!G48</f>
        <v>1.0101</v>
      </c>
      <c r="H60" s="70">
        <f t="shared" si="54"/>
        <v>2.1599999999999953E-2</v>
      </c>
      <c r="I60" s="70">
        <f t="shared" si="6"/>
        <v>194.39999999999958</v>
      </c>
      <c r="J60" s="73">
        <v>0</v>
      </c>
      <c r="K60" s="73" t="s">
        <v>96</v>
      </c>
      <c r="L60" s="73" t="s">
        <v>96</v>
      </c>
      <c r="M60" s="73" t="s">
        <v>96</v>
      </c>
      <c r="N60" s="73" t="s">
        <v>96</v>
      </c>
      <c r="O60" s="73" t="s">
        <v>96</v>
      </c>
      <c r="P60" s="73">
        <v>50</v>
      </c>
      <c r="Q60" s="74">
        <f t="shared" si="7"/>
        <v>20</v>
      </c>
      <c r="R60" s="75">
        <f t="shared" si="53"/>
        <v>0</v>
      </c>
      <c r="S60" s="75"/>
      <c r="T60" s="75"/>
      <c r="U60" s="75"/>
      <c r="V60" s="75"/>
      <c r="W60" s="75"/>
      <c r="X60" s="79"/>
      <c r="Y60" s="95">
        <f t="shared" si="17"/>
        <v>0</v>
      </c>
    </row>
    <row r="61" spans="1:25" customFormat="1" ht="17" thickBot="1" x14ac:dyDescent="0.25">
      <c r="A61" s="81" t="s">
        <v>7</v>
      </c>
      <c r="B61" s="82">
        <v>5</v>
      </c>
      <c r="C61" s="127">
        <f t="shared" si="52"/>
        <v>43628</v>
      </c>
      <c r="D61" s="61" t="str">
        <f>'Tube wts'!D49</f>
        <v>l_4_R</v>
      </c>
      <c r="E61" s="61" t="str">
        <f>'Tube wts'!E49</f>
        <v>1R</v>
      </c>
      <c r="F61" s="61">
        <f>'Tube wts'!F49</f>
        <v>0.98870000000000002</v>
      </c>
      <c r="G61" s="61">
        <f>'Tube wts'!G49</f>
        <v>1.0124</v>
      </c>
      <c r="H61" s="82">
        <f t="shared" si="54"/>
        <v>2.3699999999999943E-2</v>
      </c>
      <c r="I61" s="82">
        <f t="shared" si="6"/>
        <v>213.2999999999995</v>
      </c>
      <c r="J61" s="86">
        <v>0</v>
      </c>
      <c r="K61" s="86" t="s">
        <v>96</v>
      </c>
      <c r="L61" s="86" t="s">
        <v>96</v>
      </c>
      <c r="M61" s="86" t="s">
        <v>96</v>
      </c>
      <c r="N61" s="86" t="s">
        <v>96</v>
      </c>
      <c r="O61" s="86" t="s">
        <v>96</v>
      </c>
      <c r="P61" s="85">
        <v>50</v>
      </c>
      <c r="Q61" s="87">
        <f t="shared" si="7"/>
        <v>20</v>
      </c>
      <c r="R61" s="88">
        <f t="shared" si="53"/>
        <v>0</v>
      </c>
      <c r="S61" s="88"/>
      <c r="T61" s="88"/>
      <c r="U61" s="88"/>
      <c r="V61" s="88"/>
      <c r="W61" s="88"/>
      <c r="X61" s="89"/>
      <c r="Y61" s="95">
        <f t="shared" si="17"/>
        <v>0</v>
      </c>
    </row>
    <row r="62" spans="1:25" customFormat="1" x14ac:dyDescent="0.2">
      <c r="A62" s="20" t="s">
        <v>70</v>
      </c>
      <c r="B62" s="60">
        <v>6</v>
      </c>
      <c r="C62" s="131">
        <f t="shared" ref="C62:C86" si="55">C54+1</f>
        <v>43629</v>
      </c>
      <c r="D62" s="61" t="str">
        <f>'Tube wts'!D50</f>
        <v>nt_4_0</v>
      </c>
      <c r="E62" s="61" t="str">
        <f>'Tube wts'!E50</f>
        <v>N</v>
      </c>
      <c r="F62" s="61">
        <f>'Tube wts'!F50</f>
        <v>0</v>
      </c>
      <c r="G62" s="61">
        <f>'Tube wts'!G50</f>
        <v>0</v>
      </c>
      <c r="H62" s="60">
        <f>G62-F62</f>
        <v>0</v>
      </c>
      <c r="I62" s="60">
        <f>H62*9000</f>
        <v>0</v>
      </c>
      <c r="J62" s="26"/>
      <c r="K62" s="26"/>
      <c r="L62" s="61"/>
      <c r="M62" s="61"/>
      <c r="N62" s="61"/>
      <c r="O62" s="61"/>
      <c r="P62" s="61">
        <v>50</v>
      </c>
      <c r="Q62" s="61">
        <f>1/(P62/1000)</f>
        <v>20</v>
      </c>
      <c r="R62" s="36"/>
      <c r="S62" s="36"/>
      <c r="T62" s="36"/>
      <c r="U62" s="36">
        <f>Q62 * (1/10^-4) *M62</f>
        <v>0</v>
      </c>
      <c r="V62" s="36">
        <f>Q62 * (1/10^-5) *N62</f>
        <v>0</v>
      </c>
      <c r="W62" s="36"/>
      <c r="X62" s="94"/>
      <c r="Y62" s="95">
        <f t="shared" si="17"/>
        <v>0</v>
      </c>
    </row>
    <row r="63" spans="1:25" customFormat="1" x14ac:dyDescent="0.2">
      <c r="A63" s="57" t="s">
        <v>70</v>
      </c>
      <c r="B63" s="58">
        <v>6</v>
      </c>
      <c r="C63" s="93">
        <f t="shared" si="55"/>
        <v>43629</v>
      </c>
      <c r="D63" s="61" t="str">
        <f>'Tube wts'!D51</f>
        <v>nt_4_R</v>
      </c>
      <c r="E63" s="61" t="str">
        <f>'Tube wts'!E51</f>
        <v>1R</v>
      </c>
      <c r="F63" s="61">
        <f>'Tube wts'!F51</f>
        <v>0</v>
      </c>
      <c r="G63" s="61">
        <f>'Tube wts'!G51</f>
        <v>0</v>
      </c>
      <c r="H63" s="58">
        <f t="shared" ref="H63:H69" si="56">G63-F63</f>
        <v>0</v>
      </c>
      <c r="I63" s="58">
        <f t="shared" si="6"/>
        <v>0</v>
      </c>
      <c r="J63" s="26"/>
      <c r="K63" s="26"/>
      <c r="L63" s="26"/>
      <c r="M63" s="26"/>
      <c r="N63" s="26"/>
      <c r="O63" s="26"/>
      <c r="P63" s="26">
        <v>50</v>
      </c>
      <c r="Q63" s="61">
        <f t="shared" si="7"/>
        <v>20</v>
      </c>
      <c r="R63" s="36"/>
      <c r="S63" s="36"/>
      <c r="T63" s="36"/>
      <c r="U63" s="36"/>
      <c r="V63" s="36">
        <f t="shared" ref="V63:V68" si="57">Q63 * (1/10^-5) *N63</f>
        <v>0</v>
      </c>
      <c r="W63" s="36">
        <f t="shared" ref="W63" si="58">Q63 * (1/10^-6) *O63</f>
        <v>0</v>
      </c>
      <c r="X63" s="77"/>
      <c r="Y63" s="95">
        <f t="shared" si="17"/>
        <v>0</v>
      </c>
    </row>
    <row r="64" spans="1:25" customFormat="1" x14ac:dyDescent="0.2">
      <c r="A64" s="69" t="s">
        <v>27</v>
      </c>
      <c r="B64" s="70">
        <v>6</v>
      </c>
      <c r="C64" s="93">
        <f t="shared" si="55"/>
        <v>43629</v>
      </c>
      <c r="D64" s="61" t="str">
        <f>'Tube wts'!D52</f>
        <v>f_4_0</v>
      </c>
      <c r="E64" s="61" t="str">
        <f>'Tube wts'!E52</f>
        <v>N</v>
      </c>
      <c r="F64" s="61">
        <f>'Tube wts'!F52</f>
        <v>0</v>
      </c>
      <c r="G64" s="61">
        <f>'Tube wts'!G52</f>
        <v>0</v>
      </c>
      <c r="H64" s="70">
        <f t="shared" si="56"/>
        <v>0</v>
      </c>
      <c r="I64" s="70">
        <f t="shared" si="6"/>
        <v>0</v>
      </c>
      <c r="J64" s="73"/>
      <c r="K64" s="73"/>
      <c r="L64" s="73"/>
      <c r="M64" s="73"/>
      <c r="N64" s="73"/>
      <c r="O64" s="73"/>
      <c r="P64" s="73">
        <v>50</v>
      </c>
      <c r="Q64" s="74">
        <f t="shared" si="7"/>
        <v>20</v>
      </c>
      <c r="R64" s="75">
        <f t="shared" ref="R64:R69" si="59">Q64 * (1/10^-1) *J64</f>
        <v>0</v>
      </c>
      <c r="S64" s="75">
        <f t="shared" ref="S64:S69" si="60">Q64 * (1/10^-2) *K64</f>
        <v>0</v>
      </c>
      <c r="T64" s="75"/>
      <c r="U64" s="75"/>
      <c r="V64" s="75"/>
      <c r="W64" s="75"/>
      <c r="X64" s="79"/>
      <c r="Y64" s="95">
        <f t="shared" si="17"/>
        <v>0</v>
      </c>
    </row>
    <row r="65" spans="1:25" customFormat="1" x14ac:dyDescent="0.2">
      <c r="A65" s="69" t="s">
        <v>27</v>
      </c>
      <c r="B65" s="70">
        <v>6</v>
      </c>
      <c r="C65" s="93">
        <f t="shared" si="55"/>
        <v>43629</v>
      </c>
      <c r="D65" s="61" t="str">
        <f>'Tube wts'!D53</f>
        <v>f_4_R</v>
      </c>
      <c r="E65" s="61" t="str">
        <f>'Tube wts'!E53</f>
        <v>1R</v>
      </c>
      <c r="F65" s="61">
        <f>'Tube wts'!F53</f>
        <v>0</v>
      </c>
      <c r="G65" s="61">
        <f>'Tube wts'!G53</f>
        <v>0</v>
      </c>
      <c r="H65" s="70">
        <f t="shared" si="56"/>
        <v>0</v>
      </c>
      <c r="I65" s="70">
        <f t="shared" si="6"/>
        <v>0</v>
      </c>
      <c r="J65" s="73"/>
      <c r="K65" s="73"/>
      <c r="L65" s="73"/>
      <c r="M65" s="73"/>
      <c r="N65" s="73"/>
      <c r="O65" s="73"/>
      <c r="P65" s="73">
        <v>50</v>
      </c>
      <c r="Q65" s="74">
        <f t="shared" si="7"/>
        <v>20</v>
      </c>
      <c r="R65" s="75">
        <f t="shared" si="59"/>
        <v>0</v>
      </c>
      <c r="S65" s="75">
        <f t="shared" si="60"/>
        <v>0</v>
      </c>
      <c r="T65" s="75"/>
      <c r="U65" s="75"/>
      <c r="V65" s="75"/>
      <c r="W65" s="75"/>
      <c r="X65" s="79"/>
      <c r="Y65" s="95">
        <f t="shared" si="17"/>
        <v>0</v>
      </c>
    </row>
    <row r="66" spans="1:25" customFormat="1" x14ac:dyDescent="0.2">
      <c r="A66" s="57" t="s">
        <v>73</v>
      </c>
      <c r="B66" s="58">
        <v>6</v>
      </c>
      <c r="C66" s="93">
        <f t="shared" si="55"/>
        <v>43629</v>
      </c>
      <c r="D66" s="61" t="str">
        <f>'Tube wts'!D54</f>
        <v>m_4_0</v>
      </c>
      <c r="E66" s="61" t="str">
        <f>'Tube wts'!E54</f>
        <v>N</v>
      </c>
      <c r="F66" s="61">
        <f>'Tube wts'!F54</f>
        <v>0</v>
      </c>
      <c r="G66" s="61">
        <f>'Tube wts'!G54</f>
        <v>0</v>
      </c>
      <c r="H66" s="58">
        <f t="shared" si="56"/>
        <v>0</v>
      </c>
      <c r="I66" s="58">
        <f t="shared" si="6"/>
        <v>0</v>
      </c>
      <c r="J66" s="26"/>
      <c r="K66" s="26"/>
      <c r="L66" s="26"/>
      <c r="M66" s="26"/>
      <c r="N66" s="26"/>
      <c r="O66" s="26"/>
      <c r="P66" s="26">
        <v>50</v>
      </c>
      <c r="Q66" s="61">
        <f t="shared" si="7"/>
        <v>20</v>
      </c>
      <c r="R66" s="36">
        <f t="shared" si="59"/>
        <v>0</v>
      </c>
      <c r="S66" s="36">
        <f t="shared" si="60"/>
        <v>0</v>
      </c>
      <c r="T66" s="36">
        <f t="shared" si="34"/>
        <v>0</v>
      </c>
      <c r="U66" s="36"/>
      <c r="V66" s="36"/>
      <c r="W66" s="36"/>
      <c r="X66" s="77"/>
      <c r="Y66" s="95">
        <f t="shared" si="17"/>
        <v>0</v>
      </c>
    </row>
    <row r="67" spans="1:25" customFormat="1" x14ac:dyDescent="0.2">
      <c r="A67" s="57" t="s">
        <v>73</v>
      </c>
      <c r="B67" s="58">
        <v>6</v>
      </c>
      <c r="C67" s="93">
        <f t="shared" si="55"/>
        <v>43629</v>
      </c>
      <c r="D67" s="61" t="str">
        <f>'Tube wts'!D55</f>
        <v>m_4_R</v>
      </c>
      <c r="E67" s="61" t="str">
        <f>'Tube wts'!E55</f>
        <v>1R</v>
      </c>
      <c r="F67" s="61">
        <f>'Tube wts'!F55</f>
        <v>0</v>
      </c>
      <c r="G67" s="61">
        <f>'Tube wts'!G55</f>
        <v>0</v>
      </c>
      <c r="H67" s="58">
        <f t="shared" si="56"/>
        <v>0</v>
      </c>
      <c r="I67" s="58">
        <f t="shared" si="6"/>
        <v>0</v>
      </c>
      <c r="J67" s="26"/>
      <c r="K67" s="26"/>
      <c r="L67" s="26"/>
      <c r="M67" s="26"/>
      <c r="N67" s="26"/>
      <c r="O67" s="26"/>
      <c r="P67" s="26">
        <v>50</v>
      </c>
      <c r="Q67" s="61">
        <f t="shared" si="7"/>
        <v>20</v>
      </c>
      <c r="R67" s="36">
        <f t="shared" si="59"/>
        <v>0</v>
      </c>
      <c r="S67" s="36">
        <f t="shared" si="60"/>
        <v>0</v>
      </c>
      <c r="T67" s="36">
        <f t="shared" si="34"/>
        <v>0</v>
      </c>
      <c r="U67" s="36"/>
      <c r="V67" s="36"/>
      <c r="W67" s="36"/>
      <c r="X67" s="77"/>
      <c r="Y67" s="95">
        <f t="shared" si="17"/>
        <v>0</v>
      </c>
    </row>
    <row r="68" spans="1:25" customFormat="1" x14ac:dyDescent="0.2">
      <c r="A68" s="69" t="s">
        <v>7</v>
      </c>
      <c r="B68" s="70">
        <v>6</v>
      </c>
      <c r="C68" s="93">
        <f t="shared" si="55"/>
        <v>43629</v>
      </c>
      <c r="D68" s="61" t="str">
        <f>'Tube wts'!D56</f>
        <v>l_4_0</v>
      </c>
      <c r="E68" s="61" t="str">
        <f>'Tube wts'!E56</f>
        <v>N</v>
      </c>
      <c r="F68" s="61">
        <f>'Tube wts'!F56</f>
        <v>0</v>
      </c>
      <c r="G68" s="61">
        <f>'Tube wts'!G56</f>
        <v>0</v>
      </c>
      <c r="H68" s="70">
        <f t="shared" si="56"/>
        <v>0</v>
      </c>
      <c r="I68" s="70">
        <f t="shared" si="6"/>
        <v>0</v>
      </c>
      <c r="J68" s="73"/>
      <c r="K68" s="73"/>
      <c r="L68" s="73"/>
      <c r="M68" s="73"/>
      <c r="N68" s="73"/>
      <c r="O68" s="73"/>
      <c r="P68" s="73">
        <v>50</v>
      </c>
      <c r="Q68" s="74">
        <f t="shared" si="7"/>
        <v>20</v>
      </c>
      <c r="R68" s="75"/>
      <c r="S68" s="75">
        <f t="shared" si="60"/>
        <v>0</v>
      </c>
      <c r="T68" s="75">
        <f t="shared" si="34"/>
        <v>0</v>
      </c>
      <c r="U68" s="75">
        <f t="shared" ref="U68:U69" si="61">Q68 * (1/10^-4) *M68</f>
        <v>0</v>
      </c>
      <c r="V68" s="75">
        <f t="shared" si="57"/>
        <v>0</v>
      </c>
      <c r="W68" s="75"/>
      <c r="X68" s="79"/>
      <c r="Y68" s="95">
        <f t="shared" si="17"/>
        <v>0</v>
      </c>
    </row>
    <row r="69" spans="1:25" customFormat="1" ht="17" thickBot="1" x14ac:dyDescent="0.25">
      <c r="A69" s="81" t="s">
        <v>7</v>
      </c>
      <c r="B69" s="82">
        <v>6</v>
      </c>
      <c r="C69" s="140">
        <f t="shared" si="55"/>
        <v>43629</v>
      </c>
      <c r="D69" s="61" t="str">
        <f>'Tube wts'!D57</f>
        <v>l_4_R</v>
      </c>
      <c r="E69" s="61" t="str">
        <f>'Tube wts'!E57</f>
        <v>1R</v>
      </c>
      <c r="F69" s="61">
        <f>'Tube wts'!F57</f>
        <v>0</v>
      </c>
      <c r="G69" s="61">
        <f>'Tube wts'!G57</f>
        <v>0</v>
      </c>
      <c r="H69" s="82">
        <f t="shared" si="56"/>
        <v>0</v>
      </c>
      <c r="I69" s="82">
        <f t="shared" si="6"/>
        <v>0</v>
      </c>
      <c r="J69" s="86"/>
      <c r="K69" s="86"/>
      <c r="L69" s="86"/>
      <c r="M69" s="86"/>
      <c r="N69" s="86"/>
      <c r="O69" s="85"/>
      <c r="P69" s="85">
        <v>50</v>
      </c>
      <c r="Q69" s="87">
        <f t="shared" si="7"/>
        <v>20</v>
      </c>
      <c r="R69" s="88">
        <f t="shared" si="59"/>
        <v>0</v>
      </c>
      <c r="S69" s="88">
        <f t="shared" si="60"/>
        <v>0</v>
      </c>
      <c r="T69" s="88">
        <f t="shared" si="34"/>
        <v>0</v>
      </c>
      <c r="U69" s="88">
        <f t="shared" si="61"/>
        <v>0</v>
      </c>
      <c r="V69" s="88"/>
      <c r="W69" s="88"/>
      <c r="X69" s="89"/>
      <c r="Y69" s="95">
        <f t="shared" si="17"/>
        <v>0</v>
      </c>
    </row>
    <row r="70" spans="1:25" customFormat="1" x14ac:dyDescent="0.2">
      <c r="A70" s="20" t="s">
        <v>70</v>
      </c>
      <c r="B70" s="60">
        <v>7</v>
      </c>
      <c r="C70" s="59">
        <f t="shared" si="55"/>
        <v>43630</v>
      </c>
      <c r="D70" s="61" t="str">
        <f>'Tube wts'!D58</f>
        <v>nt_4_0</v>
      </c>
      <c r="E70" s="61" t="str">
        <f>'Tube wts'!E58</f>
        <v>N</v>
      </c>
      <c r="F70" s="61">
        <f>'Tube wts'!F58</f>
        <v>0</v>
      </c>
      <c r="G70" s="61">
        <f>'Tube wts'!G58</f>
        <v>0</v>
      </c>
      <c r="H70" s="60">
        <f>G70-F70</f>
        <v>0</v>
      </c>
      <c r="I70" s="60">
        <f>H70*9000</f>
        <v>0</v>
      </c>
      <c r="J70" s="26"/>
      <c r="K70" s="26"/>
      <c r="L70" s="61"/>
      <c r="M70" s="61"/>
      <c r="N70" s="61"/>
      <c r="O70" s="61"/>
      <c r="P70" s="61">
        <v>50</v>
      </c>
      <c r="Q70" s="61">
        <f>1/(P70/1000)</f>
        <v>20</v>
      </c>
      <c r="R70" s="36"/>
      <c r="S70" s="36"/>
      <c r="T70" s="36">
        <f t="shared" si="34"/>
        <v>0</v>
      </c>
      <c r="U70" s="36">
        <f>Q70 * (1/10^-4) *M70</f>
        <v>0</v>
      </c>
      <c r="V70" s="36">
        <f>Q70 * (1/10^-5) *N70</f>
        <v>0</v>
      </c>
      <c r="W70" s="36">
        <f>Q70 * (1/10^-6) *O70</f>
        <v>0</v>
      </c>
      <c r="X70" s="94"/>
      <c r="Y70" s="95">
        <f t="shared" si="17"/>
        <v>0</v>
      </c>
    </row>
    <row r="71" spans="1:25" customFormat="1" x14ac:dyDescent="0.2">
      <c r="A71" s="57" t="s">
        <v>70</v>
      </c>
      <c r="B71" s="58">
        <v>7</v>
      </c>
      <c r="C71" s="93">
        <f t="shared" si="55"/>
        <v>43630</v>
      </c>
      <c r="D71" s="61" t="str">
        <f>'Tube wts'!D59</f>
        <v>nt_4_R</v>
      </c>
      <c r="E71" s="61" t="str">
        <f>'Tube wts'!E59</f>
        <v>1R</v>
      </c>
      <c r="F71" s="61">
        <f>'Tube wts'!F59</f>
        <v>0</v>
      </c>
      <c r="G71" s="61">
        <f>'Tube wts'!G59</f>
        <v>0</v>
      </c>
      <c r="H71" s="58">
        <f t="shared" ref="H71:H77" si="62">G71-F71</f>
        <v>0</v>
      </c>
      <c r="I71" s="58">
        <f t="shared" si="6"/>
        <v>0</v>
      </c>
      <c r="J71" s="26"/>
      <c r="K71" s="26"/>
      <c r="L71" s="26"/>
      <c r="M71" s="26"/>
      <c r="N71" s="26"/>
      <c r="O71" s="26"/>
      <c r="P71" s="26">
        <v>50</v>
      </c>
      <c r="Q71" s="61">
        <f t="shared" si="7"/>
        <v>20</v>
      </c>
      <c r="R71" s="36"/>
      <c r="S71" s="36"/>
      <c r="T71" s="36"/>
      <c r="U71" s="36">
        <f t="shared" ref="U71:U77" si="63">Q71 * (1/10^-4) *M71</f>
        <v>0</v>
      </c>
      <c r="V71" s="36">
        <f t="shared" ref="V71:V76" si="64">Q71 * (1/10^-5) *N71</f>
        <v>0</v>
      </c>
      <c r="W71" s="36">
        <f t="shared" ref="W71" si="65">Q71 * (1/10^-6) *O71</f>
        <v>0</v>
      </c>
      <c r="X71" s="77"/>
      <c r="Y71" s="95">
        <f t="shared" si="17"/>
        <v>0</v>
      </c>
    </row>
    <row r="72" spans="1:25" customFormat="1" x14ac:dyDescent="0.2">
      <c r="A72" s="69" t="s">
        <v>27</v>
      </c>
      <c r="B72" s="70">
        <v>7</v>
      </c>
      <c r="C72" s="93">
        <f t="shared" si="55"/>
        <v>43630</v>
      </c>
      <c r="D72" s="61" t="str">
        <f>'Tube wts'!D60</f>
        <v>f_4_0</v>
      </c>
      <c r="E72" s="61" t="str">
        <f>'Tube wts'!E60</f>
        <v>N</v>
      </c>
      <c r="F72" s="61">
        <f>'Tube wts'!F60</f>
        <v>0</v>
      </c>
      <c r="G72" s="61">
        <f>'Tube wts'!G60</f>
        <v>0</v>
      </c>
      <c r="H72" s="70">
        <f t="shared" si="62"/>
        <v>0</v>
      </c>
      <c r="I72" s="70">
        <f t="shared" si="6"/>
        <v>0</v>
      </c>
      <c r="J72" s="73"/>
      <c r="K72" s="73"/>
      <c r="L72" s="73"/>
      <c r="M72" s="73"/>
      <c r="N72" s="73"/>
      <c r="O72" s="73"/>
      <c r="P72" s="73">
        <v>50</v>
      </c>
      <c r="Q72" s="74">
        <f t="shared" si="7"/>
        <v>20</v>
      </c>
      <c r="R72" s="75">
        <f t="shared" ref="R72:R77" si="66">Q72 * (1/10^-1) *J72</f>
        <v>0</v>
      </c>
      <c r="S72" s="75">
        <f t="shared" ref="S72:S77" si="67">Q72 * (1/10^-2) *K72</f>
        <v>0</v>
      </c>
      <c r="T72" s="75"/>
      <c r="U72" s="75"/>
      <c r="V72" s="75"/>
      <c r="W72" s="75"/>
      <c r="X72" s="79"/>
      <c r="Y72" s="95">
        <f t="shared" si="17"/>
        <v>0</v>
      </c>
    </row>
    <row r="73" spans="1:25" customFormat="1" x14ac:dyDescent="0.2">
      <c r="A73" s="69" t="s">
        <v>27</v>
      </c>
      <c r="B73" s="70">
        <v>7</v>
      </c>
      <c r="C73" s="93">
        <f t="shared" si="55"/>
        <v>43630</v>
      </c>
      <c r="D73" s="61" t="str">
        <f>'Tube wts'!D61</f>
        <v>f_4_R</v>
      </c>
      <c r="E73" s="61" t="str">
        <f>'Tube wts'!E61</f>
        <v>1R</v>
      </c>
      <c r="F73" s="61">
        <f>'Tube wts'!F61</f>
        <v>0</v>
      </c>
      <c r="G73" s="61">
        <f>'Tube wts'!G61</f>
        <v>0</v>
      </c>
      <c r="H73" s="70">
        <f t="shared" si="62"/>
        <v>0</v>
      </c>
      <c r="I73" s="70">
        <f t="shared" si="6"/>
        <v>0</v>
      </c>
      <c r="J73" s="73"/>
      <c r="K73" s="73"/>
      <c r="L73" s="73"/>
      <c r="M73" s="73"/>
      <c r="N73" s="73"/>
      <c r="O73" s="73"/>
      <c r="P73" s="73">
        <v>50</v>
      </c>
      <c r="Q73" s="74">
        <f t="shared" si="7"/>
        <v>20</v>
      </c>
      <c r="R73" s="75">
        <f t="shared" si="66"/>
        <v>0</v>
      </c>
      <c r="S73" s="75">
        <f t="shared" si="67"/>
        <v>0</v>
      </c>
      <c r="T73" s="75"/>
      <c r="U73" s="75"/>
      <c r="V73" s="75"/>
      <c r="W73" s="75"/>
      <c r="X73" s="79"/>
      <c r="Y73" s="95">
        <f t="shared" si="17"/>
        <v>0</v>
      </c>
    </row>
    <row r="74" spans="1:25" customFormat="1" x14ac:dyDescent="0.2">
      <c r="A74" s="57" t="s">
        <v>73</v>
      </c>
      <c r="B74" s="58">
        <v>7</v>
      </c>
      <c r="C74" s="93">
        <f t="shared" si="55"/>
        <v>43630</v>
      </c>
      <c r="D74" s="61" t="str">
        <f>'Tube wts'!D62</f>
        <v>m_4_0</v>
      </c>
      <c r="E74" s="61" t="str">
        <f>'Tube wts'!E62</f>
        <v>N</v>
      </c>
      <c r="F74" s="61">
        <f>'Tube wts'!F62</f>
        <v>0</v>
      </c>
      <c r="G74" s="61">
        <f>'Tube wts'!G62</f>
        <v>0</v>
      </c>
      <c r="H74" s="58">
        <f t="shared" si="62"/>
        <v>0</v>
      </c>
      <c r="I74" s="58">
        <f t="shared" si="6"/>
        <v>0</v>
      </c>
      <c r="J74" s="26"/>
      <c r="K74" s="26"/>
      <c r="L74" s="73"/>
      <c r="M74" s="73"/>
      <c r="N74" s="73"/>
      <c r="O74" s="73"/>
      <c r="P74" s="26">
        <v>50</v>
      </c>
      <c r="Q74" s="61">
        <f t="shared" si="7"/>
        <v>20</v>
      </c>
      <c r="R74" s="36">
        <f t="shared" si="66"/>
        <v>0</v>
      </c>
      <c r="S74" s="36">
        <f t="shared" si="67"/>
        <v>0</v>
      </c>
      <c r="T74" s="36"/>
      <c r="U74" s="36"/>
      <c r="V74" s="36"/>
      <c r="W74" s="36"/>
      <c r="X74" s="77"/>
      <c r="Y74" s="95">
        <f t="shared" si="17"/>
        <v>0</v>
      </c>
    </row>
    <row r="75" spans="1:25" customFormat="1" x14ac:dyDescent="0.2">
      <c r="A75" s="57" t="s">
        <v>73</v>
      </c>
      <c r="B75" s="58">
        <v>7</v>
      </c>
      <c r="C75" s="93">
        <f t="shared" si="55"/>
        <v>43630</v>
      </c>
      <c r="D75" s="61" t="str">
        <f>'Tube wts'!D63</f>
        <v>m_4_R</v>
      </c>
      <c r="E75" s="61" t="str">
        <f>'Tube wts'!E63</f>
        <v>1R</v>
      </c>
      <c r="F75" s="61">
        <f>'Tube wts'!F63</f>
        <v>0</v>
      </c>
      <c r="G75" s="61">
        <f>'Tube wts'!G63</f>
        <v>0</v>
      </c>
      <c r="H75" s="58">
        <f t="shared" si="62"/>
        <v>0</v>
      </c>
      <c r="I75" s="58">
        <f t="shared" si="6"/>
        <v>0</v>
      </c>
      <c r="J75" s="26"/>
      <c r="K75" s="26"/>
      <c r="L75" s="73"/>
      <c r="M75" s="73"/>
      <c r="N75" s="73"/>
      <c r="O75" s="73"/>
      <c r="P75" s="26">
        <v>50</v>
      </c>
      <c r="Q75" s="61">
        <f t="shared" si="7"/>
        <v>20</v>
      </c>
      <c r="R75" s="36">
        <f t="shared" si="66"/>
        <v>0</v>
      </c>
      <c r="S75" s="36">
        <f t="shared" si="67"/>
        <v>0</v>
      </c>
      <c r="T75" s="36"/>
      <c r="U75" s="36"/>
      <c r="V75" s="36"/>
      <c r="W75" s="36"/>
      <c r="X75" s="77"/>
      <c r="Y75" s="95">
        <f t="shared" si="17"/>
        <v>0</v>
      </c>
    </row>
    <row r="76" spans="1:25" customFormat="1" x14ac:dyDescent="0.2">
      <c r="A76" s="69" t="s">
        <v>7</v>
      </c>
      <c r="B76" s="70">
        <v>7</v>
      </c>
      <c r="C76" s="93">
        <f t="shared" si="55"/>
        <v>43630</v>
      </c>
      <c r="D76" s="61" t="str">
        <f>'Tube wts'!D64</f>
        <v>l_4_0</v>
      </c>
      <c r="E76" s="61" t="str">
        <f>'Tube wts'!E64</f>
        <v>N</v>
      </c>
      <c r="F76" s="61">
        <f>'Tube wts'!F64</f>
        <v>0</v>
      </c>
      <c r="G76" s="61">
        <f>'Tube wts'!G64</f>
        <v>0</v>
      </c>
      <c r="H76" s="70">
        <f t="shared" si="62"/>
        <v>0</v>
      </c>
      <c r="I76" s="70">
        <f t="shared" si="6"/>
        <v>0</v>
      </c>
      <c r="J76" s="73"/>
      <c r="K76" s="73"/>
      <c r="L76" s="73"/>
      <c r="M76" s="73"/>
      <c r="N76" s="73"/>
      <c r="O76" s="73"/>
      <c r="P76" s="73">
        <v>50</v>
      </c>
      <c r="Q76" s="74">
        <f t="shared" si="7"/>
        <v>20</v>
      </c>
      <c r="R76" s="75">
        <f t="shared" si="66"/>
        <v>0</v>
      </c>
      <c r="S76" s="75">
        <f t="shared" si="67"/>
        <v>0</v>
      </c>
      <c r="T76" s="75">
        <f t="shared" si="34"/>
        <v>0</v>
      </c>
      <c r="U76" s="75">
        <f t="shared" si="63"/>
        <v>0</v>
      </c>
      <c r="V76" s="75">
        <f t="shared" si="64"/>
        <v>0</v>
      </c>
      <c r="W76" s="75"/>
      <c r="X76" s="79"/>
      <c r="Y76" s="95">
        <f t="shared" si="17"/>
        <v>0</v>
      </c>
    </row>
    <row r="77" spans="1:25" customFormat="1" ht="17" thickBot="1" x14ac:dyDescent="0.25">
      <c r="A77" s="81" t="s">
        <v>7</v>
      </c>
      <c r="B77" s="82">
        <v>7</v>
      </c>
      <c r="C77" s="127">
        <f t="shared" si="55"/>
        <v>43630</v>
      </c>
      <c r="D77" s="61" t="str">
        <f>'Tube wts'!D65</f>
        <v>l_4_R</v>
      </c>
      <c r="E77" s="61" t="str">
        <f>'Tube wts'!E65</f>
        <v>1R</v>
      </c>
      <c r="F77" s="61">
        <f>'Tube wts'!F65</f>
        <v>0</v>
      </c>
      <c r="G77" s="61">
        <f>'Tube wts'!G65</f>
        <v>0</v>
      </c>
      <c r="H77" s="82">
        <f t="shared" si="62"/>
        <v>0</v>
      </c>
      <c r="I77" s="82">
        <f t="shared" si="6"/>
        <v>0</v>
      </c>
      <c r="J77" s="86"/>
      <c r="K77" s="86"/>
      <c r="L77" s="86"/>
      <c r="M77" s="86"/>
      <c r="N77" s="86"/>
      <c r="O77" s="85"/>
      <c r="P77" s="85">
        <v>50</v>
      </c>
      <c r="Q77" s="87">
        <f t="shared" si="7"/>
        <v>20</v>
      </c>
      <c r="R77" s="88">
        <f t="shared" si="66"/>
        <v>0</v>
      </c>
      <c r="S77" s="88">
        <f t="shared" si="67"/>
        <v>0</v>
      </c>
      <c r="T77" s="88">
        <f t="shared" si="34"/>
        <v>0</v>
      </c>
      <c r="U77" s="88">
        <f t="shared" si="63"/>
        <v>0</v>
      </c>
      <c r="V77" s="88"/>
      <c r="W77" s="88"/>
      <c r="X77" s="89"/>
      <c r="Y77" s="95">
        <f t="shared" si="17"/>
        <v>0</v>
      </c>
    </row>
    <row r="78" spans="1:25" customFormat="1" x14ac:dyDescent="0.2">
      <c r="A78" s="20" t="s">
        <v>70</v>
      </c>
      <c r="B78" s="60">
        <v>8</v>
      </c>
      <c r="C78" s="131">
        <f t="shared" si="55"/>
        <v>43631</v>
      </c>
      <c r="D78" s="61" t="str">
        <f>'Tube wts'!D66</f>
        <v>nt_4_0</v>
      </c>
      <c r="E78" s="61" t="str">
        <f>'Tube wts'!E66</f>
        <v>N</v>
      </c>
      <c r="F78" s="61">
        <f>'Tube wts'!F66</f>
        <v>0</v>
      </c>
      <c r="G78" s="61">
        <f>'Tube wts'!G66</f>
        <v>0</v>
      </c>
      <c r="H78" s="60">
        <f>G78-F78</f>
        <v>0</v>
      </c>
      <c r="I78" s="60">
        <f>H78*9000</f>
        <v>0</v>
      </c>
      <c r="J78" s="26"/>
      <c r="K78" s="26"/>
      <c r="L78" s="61"/>
      <c r="M78" s="61"/>
      <c r="N78" s="61"/>
      <c r="O78" s="61"/>
      <c r="P78" s="61">
        <v>50</v>
      </c>
      <c r="Q78" s="61">
        <f>1/(P78/1000)</f>
        <v>20</v>
      </c>
      <c r="R78" s="36"/>
      <c r="S78" s="36"/>
      <c r="T78" s="36"/>
      <c r="U78" s="36"/>
      <c r="V78" s="36">
        <f>Q78 * (1/10^-5) *N78</f>
        <v>0</v>
      </c>
      <c r="W78" s="36">
        <f>Q78 * (1/10^-6) *O78</f>
        <v>0</v>
      </c>
      <c r="X78" s="94"/>
      <c r="Y78" s="95">
        <f t="shared" si="17"/>
        <v>0</v>
      </c>
    </row>
    <row r="79" spans="1:25" customFormat="1" x14ac:dyDescent="0.2">
      <c r="A79" s="57" t="s">
        <v>70</v>
      </c>
      <c r="B79" s="58">
        <v>8</v>
      </c>
      <c r="C79" s="93">
        <f t="shared" si="55"/>
        <v>43631</v>
      </c>
      <c r="D79" s="61" t="str">
        <f>'Tube wts'!D67</f>
        <v>nt_4_R</v>
      </c>
      <c r="E79" s="61" t="str">
        <f>'Tube wts'!E67</f>
        <v>1R</v>
      </c>
      <c r="F79" s="61">
        <f>'Tube wts'!F67</f>
        <v>0</v>
      </c>
      <c r="G79" s="61">
        <f>'Tube wts'!G67</f>
        <v>0</v>
      </c>
      <c r="H79" s="58">
        <f t="shared" ref="H79:H85" si="68">G79-F79</f>
        <v>0</v>
      </c>
      <c r="I79" s="58">
        <f t="shared" si="6"/>
        <v>0</v>
      </c>
      <c r="J79" s="26"/>
      <c r="K79" s="26"/>
      <c r="L79" s="26"/>
      <c r="M79" s="26"/>
      <c r="N79" s="26"/>
      <c r="O79" s="26"/>
      <c r="P79" s="26">
        <v>50</v>
      </c>
      <c r="Q79" s="61">
        <f t="shared" si="7"/>
        <v>20</v>
      </c>
      <c r="R79" s="36"/>
      <c r="S79" s="36"/>
      <c r="T79" s="36"/>
      <c r="U79" s="36"/>
      <c r="V79" s="36">
        <f t="shared" ref="V79" si="69">Q79 * (1/10^-5) *N79</f>
        <v>0</v>
      </c>
      <c r="W79" s="36">
        <f t="shared" ref="W79" si="70">Q79 * (1/10^-6) *O79</f>
        <v>0</v>
      </c>
      <c r="X79" s="77"/>
      <c r="Y79" s="95">
        <f t="shared" si="17"/>
        <v>0</v>
      </c>
    </row>
    <row r="80" spans="1:25" customFormat="1" x14ac:dyDescent="0.2">
      <c r="A80" s="69" t="s">
        <v>27</v>
      </c>
      <c r="B80" s="70">
        <v>8</v>
      </c>
      <c r="C80" s="93">
        <f t="shared" si="55"/>
        <v>43631</v>
      </c>
      <c r="D80" s="61" t="str">
        <f>'Tube wts'!D68</f>
        <v>f_4_0</v>
      </c>
      <c r="E80" s="61" t="str">
        <f>'Tube wts'!E68</f>
        <v>N</v>
      </c>
      <c r="F80" s="61">
        <f>'Tube wts'!F68</f>
        <v>0</v>
      </c>
      <c r="G80" s="61">
        <f>'Tube wts'!G68</f>
        <v>0</v>
      </c>
      <c r="H80" s="70">
        <f t="shared" si="68"/>
        <v>0</v>
      </c>
      <c r="I80" s="70">
        <f t="shared" ref="I80:I85" si="71">H80*9000</f>
        <v>0</v>
      </c>
      <c r="J80" s="73"/>
      <c r="K80" s="73"/>
      <c r="L80" s="73"/>
      <c r="M80" s="73"/>
      <c r="N80" s="73"/>
      <c r="O80" s="73"/>
      <c r="P80" s="73">
        <v>50</v>
      </c>
      <c r="Q80" s="74">
        <f t="shared" ref="Q80:Q85" si="72">1/(P80/1000)</f>
        <v>20</v>
      </c>
      <c r="R80" s="75">
        <f t="shared" ref="R80:R85" si="73">Q80 * (1/10^-1) *J80</f>
        <v>0</v>
      </c>
      <c r="S80" s="75">
        <f t="shared" ref="S80:S85" si="74">Q80 * (1/10^-2) *K80</f>
        <v>0</v>
      </c>
      <c r="T80" s="75"/>
      <c r="U80" s="75"/>
      <c r="V80" s="75"/>
      <c r="W80" s="75"/>
      <c r="X80" s="79"/>
      <c r="Y80" s="95">
        <f t="shared" si="17"/>
        <v>0</v>
      </c>
    </row>
    <row r="81" spans="1:25" customFormat="1" x14ac:dyDescent="0.2">
      <c r="A81" s="69" t="s">
        <v>27</v>
      </c>
      <c r="B81" s="70">
        <v>8</v>
      </c>
      <c r="C81" s="93">
        <f t="shared" si="55"/>
        <v>43631</v>
      </c>
      <c r="D81" s="61" t="str">
        <f>'Tube wts'!D69</f>
        <v>f_4_R</v>
      </c>
      <c r="E81" s="61" t="str">
        <f>'Tube wts'!E69</f>
        <v>1R</v>
      </c>
      <c r="F81" s="61">
        <f>'Tube wts'!F69</f>
        <v>0</v>
      </c>
      <c r="G81" s="61">
        <f>'Tube wts'!G69</f>
        <v>0</v>
      </c>
      <c r="H81" s="70">
        <f t="shared" si="68"/>
        <v>0</v>
      </c>
      <c r="I81" s="70">
        <f t="shared" si="71"/>
        <v>0</v>
      </c>
      <c r="J81" s="73"/>
      <c r="K81" s="73"/>
      <c r="L81" s="73"/>
      <c r="M81" s="73"/>
      <c r="N81" s="73"/>
      <c r="O81" s="73"/>
      <c r="P81" s="73">
        <v>50</v>
      </c>
      <c r="Q81" s="74">
        <f t="shared" si="72"/>
        <v>20</v>
      </c>
      <c r="R81" s="75">
        <f t="shared" si="73"/>
        <v>0</v>
      </c>
      <c r="S81" s="75">
        <f t="shared" si="74"/>
        <v>0</v>
      </c>
      <c r="T81" s="75"/>
      <c r="U81" s="75"/>
      <c r="V81" s="75"/>
      <c r="W81" s="75"/>
      <c r="X81" s="79"/>
      <c r="Y81" s="95">
        <f t="shared" si="17"/>
        <v>0</v>
      </c>
    </row>
    <row r="82" spans="1:25" customFormat="1" x14ac:dyDescent="0.2">
      <c r="A82" s="57" t="s">
        <v>73</v>
      </c>
      <c r="B82" s="58">
        <v>8</v>
      </c>
      <c r="C82" s="93">
        <f t="shared" si="55"/>
        <v>43631</v>
      </c>
      <c r="D82" s="61" t="str">
        <f>'Tube wts'!D70</f>
        <v>m_4_0</v>
      </c>
      <c r="E82" s="61" t="str">
        <f>'Tube wts'!E70</f>
        <v>N</v>
      </c>
      <c r="F82" s="61">
        <f>'Tube wts'!F70</f>
        <v>0</v>
      </c>
      <c r="G82" s="61">
        <f>'Tube wts'!G70</f>
        <v>0</v>
      </c>
      <c r="H82" s="58">
        <f t="shared" si="68"/>
        <v>0</v>
      </c>
      <c r="I82" s="58">
        <f t="shared" si="71"/>
        <v>0</v>
      </c>
      <c r="J82" s="26"/>
      <c r="K82" s="26"/>
      <c r="L82" s="73"/>
      <c r="M82" s="73"/>
      <c r="N82" s="73"/>
      <c r="O82" s="73"/>
      <c r="P82" s="26">
        <v>50</v>
      </c>
      <c r="Q82" s="61">
        <f t="shared" si="72"/>
        <v>20</v>
      </c>
      <c r="R82" s="36">
        <f t="shared" si="73"/>
        <v>0</v>
      </c>
      <c r="S82" s="36">
        <f t="shared" si="74"/>
        <v>0</v>
      </c>
      <c r="T82" s="36"/>
      <c r="U82" s="36"/>
      <c r="V82" s="36"/>
      <c r="W82" s="36"/>
      <c r="X82" s="77"/>
      <c r="Y82" s="95">
        <f t="shared" si="17"/>
        <v>0</v>
      </c>
    </row>
    <row r="83" spans="1:25" customFormat="1" x14ac:dyDescent="0.2">
      <c r="A83" s="57" t="s">
        <v>73</v>
      </c>
      <c r="B83" s="58">
        <v>8</v>
      </c>
      <c r="C83" s="93">
        <f t="shared" si="55"/>
        <v>43631</v>
      </c>
      <c r="D83" s="61" t="str">
        <f>'Tube wts'!D71</f>
        <v>m_4_R</v>
      </c>
      <c r="E83" s="61" t="str">
        <f>'Tube wts'!E71</f>
        <v>1R</v>
      </c>
      <c r="F83" s="61">
        <f>'Tube wts'!F71</f>
        <v>0</v>
      </c>
      <c r="G83" s="61">
        <f>'Tube wts'!G71</f>
        <v>0</v>
      </c>
      <c r="H83" s="58">
        <f t="shared" si="68"/>
        <v>0</v>
      </c>
      <c r="I83" s="58">
        <f t="shared" si="71"/>
        <v>0</v>
      </c>
      <c r="J83" s="26"/>
      <c r="K83" s="26"/>
      <c r="L83" s="73"/>
      <c r="M83" s="73"/>
      <c r="N83" s="73"/>
      <c r="O83" s="73"/>
      <c r="P83" s="26">
        <v>50</v>
      </c>
      <c r="Q83" s="61">
        <f t="shared" si="72"/>
        <v>20</v>
      </c>
      <c r="R83" s="36">
        <f t="shared" si="73"/>
        <v>0</v>
      </c>
      <c r="S83" s="36">
        <f t="shared" si="74"/>
        <v>0</v>
      </c>
      <c r="T83" s="36"/>
      <c r="U83" s="36"/>
      <c r="V83" s="36"/>
      <c r="W83" s="36"/>
      <c r="X83" s="77"/>
      <c r="Y83" s="95">
        <f t="shared" si="17"/>
        <v>0</v>
      </c>
    </row>
    <row r="84" spans="1:25" customFormat="1" x14ac:dyDescent="0.2">
      <c r="A84" s="69" t="s">
        <v>7</v>
      </c>
      <c r="B84" s="70">
        <v>8</v>
      </c>
      <c r="C84" s="93">
        <f t="shared" si="55"/>
        <v>43631</v>
      </c>
      <c r="D84" s="61" t="str">
        <f>'Tube wts'!D72</f>
        <v>l_4_0</v>
      </c>
      <c r="E84" s="61" t="str">
        <f>'Tube wts'!E72</f>
        <v>N</v>
      </c>
      <c r="F84" s="61">
        <f>'Tube wts'!F72</f>
        <v>0</v>
      </c>
      <c r="G84" s="61">
        <f>'Tube wts'!G72</f>
        <v>0</v>
      </c>
      <c r="H84" s="70">
        <f t="shared" si="68"/>
        <v>0</v>
      </c>
      <c r="I84" s="70">
        <f t="shared" si="71"/>
        <v>0</v>
      </c>
      <c r="J84" s="73"/>
      <c r="K84" s="73"/>
      <c r="L84" s="73"/>
      <c r="M84" s="73"/>
      <c r="N84" s="73"/>
      <c r="O84" s="73"/>
      <c r="P84" s="73">
        <v>50</v>
      </c>
      <c r="Q84" s="74">
        <f t="shared" si="72"/>
        <v>20</v>
      </c>
      <c r="R84" s="75">
        <f t="shared" si="73"/>
        <v>0</v>
      </c>
      <c r="S84" s="75">
        <f t="shared" si="74"/>
        <v>0</v>
      </c>
      <c r="T84" s="75"/>
      <c r="U84" s="75"/>
      <c r="V84" s="75"/>
      <c r="W84" s="75"/>
      <c r="X84" s="79"/>
      <c r="Y84" s="95">
        <f t="shared" si="17"/>
        <v>0</v>
      </c>
    </row>
    <row r="85" spans="1:25" customFormat="1" ht="17" thickBot="1" x14ac:dyDescent="0.25">
      <c r="A85" s="81" t="s">
        <v>7</v>
      </c>
      <c r="B85" s="82">
        <v>8</v>
      </c>
      <c r="C85" s="140">
        <f t="shared" si="55"/>
        <v>43631</v>
      </c>
      <c r="D85" s="61" t="str">
        <f>'Tube wts'!D73</f>
        <v>l_4_R</v>
      </c>
      <c r="E85" s="61" t="str">
        <f>'Tube wts'!E73</f>
        <v>1R</v>
      </c>
      <c r="F85" s="61">
        <f>'Tube wts'!F73</f>
        <v>0</v>
      </c>
      <c r="G85" s="61">
        <f>'Tube wts'!G73</f>
        <v>0</v>
      </c>
      <c r="H85" s="82">
        <f t="shared" si="68"/>
        <v>0</v>
      </c>
      <c r="I85" s="82">
        <f t="shared" si="71"/>
        <v>0</v>
      </c>
      <c r="J85" s="86"/>
      <c r="K85" s="86"/>
      <c r="L85" s="73"/>
      <c r="M85" s="73"/>
      <c r="N85" s="73"/>
      <c r="O85" s="73"/>
      <c r="P85" s="85">
        <v>50</v>
      </c>
      <c r="Q85" s="87">
        <f t="shared" si="72"/>
        <v>20</v>
      </c>
      <c r="R85" s="88">
        <f t="shared" si="73"/>
        <v>0</v>
      </c>
      <c r="S85" s="88">
        <f t="shared" si="74"/>
        <v>0</v>
      </c>
      <c r="T85" s="88"/>
      <c r="U85" s="88"/>
      <c r="V85" s="88"/>
      <c r="W85" s="88"/>
      <c r="X85" s="89"/>
      <c r="Y85" s="95">
        <f t="shared" si="17"/>
        <v>0</v>
      </c>
    </row>
    <row r="86" spans="1:25" customFormat="1" x14ac:dyDescent="0.2">
      <c r="A86" s="20" t="s">
        <v>70</v>
      </c>
      <c r="B86" s="60">
        <v>9</v>
      </c>
      <c r="C86" s="59">
        <f t="shared" si="55"/>
        <v>43632</v>
      </c>
      <c r="D86" s="61" t="str">
        <f>'Tube wts'!D74</f>
        <v>nt_4_0</v>
      </c>
      <c r="E86" s="61" t="str">
        <f>'Tube wts'!E74</f>
        <v>N</v>
      </c>
      <c r="F86" s="61">
        <f>'Tube wts'!F74</f>
        <v>0</v>
      </c>
      <c r="G86" s="61">
        <f>'Tube wts'!G74</f>
        <v>0</v>
      </c>
      <c r="H86" s="60">
        <f>G86-F86</f>
        <v>0</v>
      </c>
      <c r="I86" s="60">
        <f>H86*9000</f>
        <v>0</v>
      </c>
      <c r="J86" s="26"/>
      <c r="K86" s="26"/>
      <c r="L86" s="61"/>
      <c r="M86" s="61"/>
      <c r="N86" s="61"/>
      <c r="O86" s="61"/>
      <c r="P86" s="61">
        <v>50</v>
      </c>
      <c r="Q86" s="61">
        <f>1/(P86/1000)</f>
        <v>20</v>
      </c>
      <c r="R86" s="36"/>
      <c r="S86" s="36"/>
      <c r="T86" s="36"/>
      <c r="U86" s="36"/>
      <c r="V86" s="36">
        <f>Q86 * (1/10^-5) *N86</f>
        <v>0</v>
      </c>
      <c r="W86" s="36">
        <f>Q86 * (1/10^-6) *O86</f>
        <v>0</v>
      </c>
      <c r="X86" s="94"/>
      <c r="Y86" s="95">
        <f t="shared" si="17"/>
        <v>0</v>
      </c>
    </row>
    <row r="87" spans="1:25" customFormat="1" x14ac:dyDescent="0.2">
      <c r="A87" s="57" t="s">
        <v>70</v>
      </c>
      <c r="B87" s="58">
        <v>9</v>
      </c>
      <c r="C87" s="93">
        <f t="shared" ref="C87:C101" si="75">C79+1</f>
        <v>43632</v>
      </c>
      <c r="D87" s="61" t="str">
        <f>'Tube wts'!D75</f>
        <v>nt_4_R</v>
      </c>
      <c r="E87" s="61" t="str">
        <f>'Tube wts'!E75</f>
        <v>1R</v>
      </c>
      <c r="F87" s="61">
        <f>'Tube wts'!F75</f>
        <v>0</v>
      </c>
      <c r="G87" s="61">
        <f>'Tube wts'!G75</f>
        <v>0</v>
      </c>
      <c r="H87" s="58">
        <f t="shared" ref="H87:H93" si="76">G87-F87</f>
        <v>0</v>
      </c>
      <c r="I87" s="58">
        <f t="shared" ref="I87:I93" si="77">H87*9000</f>
        <v>0</v>
      </c>
      <c r="J87" s="26"/>
      <c r="K87" s="26"/>
      <c r="L87" s="26"/>
      <c r="M87" s="26"/>
      <c r="N87" s="26"/>
      <c r="O87" s="26"/>
      <c r="P87" s="26">
        <v>50</v>
      </c>
      <c r="Q87" s="61">
        <f t="shared" ref="Q87:Q93" si="78">1/(P87/1000)</f>
        <v>20</v>
      </c>
      <c r="R87" s="36"/>
      <c r="S87" s="36"/>
      <c r="T87" s="36"/>
      <c r="U87" s="36"/>
      <c r="V87" s="36">
        <f t="shared" ref="V87" si="79">Q87 * (1/10^-5) *N87</f>
        <v>0</v>
      </c>
      <c r="W87" s="36">
        <f t="shared" ref="W87" si="80">Q87 * (1/10^-6) *O87</f>
        <v>0</v>
      </c>
      <c r="X87" s="77"/>
      <c r="Y87" s="95">
        <f t="shared" ref="Y87:Y101" si="81">AVERAGE(R87:W87)</f>
        <v>0</v>
      </c>
    </row>
    <row r="88" spans="1:25" customFormat="1" x14ac:dyDescent="0.2">
      <c r="A88" s="69" t="s">
        <v>27</v>
      </c>
      <c r="B88" s="70">
        <v>9</v>
      </c>
      <c r="C88" s="93">
        <f t="shared" si="75"/>
        <v>43632</v>
      </c>
      <c r="D88" s="61" t="str">
        <f>'Tube wts'!D76</f>
        <v>f_4_0</v>
      </c>
      <c r="E88" s="61" t="str">
        <f>'Tube wts'!E76</f>
        <v>N</v>
      </c>
      <c r="F88" s="61">
        <f>'Tube wts'!F76</f>
        <v>0</v>
      </c>
      <c r="G88" s="61">
        <f>'Tube wts'!G76</f>
        <v>0</v>
      </c>
      <c r="H88" s="70">
        <f t="shared" si="76"/>
        <v>0</v>
      </c>
      <c r="I88" s="70">
        <f t="shared" si="77"/>
        <v>0</v>
      </c>
      <c r="J88" s="73"/>
      <c r="K88" s="73"/>
      <c r="L88" s="73"/>
      <c r="M88" s="73"/>
      <c r="N88" s="73"/>
      <c r="O88" s="73"/>
      <c r="P88" s="73">
        <v>50</v>
      </c>
      <c r="Q88" s="74">
        <f t="shared" si="78"/>
        <v>20</v>
      </c>
      <c r="R88" s="75">
        <f t="shared" ref="R88:R93" si="82">Q88 * (1/10^-1) *J88</f>
        <v>0</v>
      </c>
      <c r="S88" s="75">
        <f t="shared" ref="S88:S93" si="83">Q88 * (1/10^-2) *K88</f>
        <v>0</v>
      </c>
      <c r="T88" s="75"/>
      <c r="U88" s="75"/>
      <c r="V88" s="75"/>
      <c r="W88" s="75"/>
      <c r="X88" s="79"/>
      <c r="Y88" s="95">
        <f t="shared" si="81"/>
        <v>0</v>
      </c>
    </row>
    <row r="89" spans="1:25" customFormat="1" x14ac:dyDescent="0.2">
      <c r="A89" s="69" t="s">
        <v>27</v>
      </c>
      <c r="B89" s="70">
        <v>9</v>
      </c>
      <c r="C89" s="93">
        <f t="shared" si="75"/>
        <v>43632</v>
      </c>
      <c r="D89" s="61" t="str">
        <f>'Tube wts'!D77</f>
        <v>f_4_R</v>
      </c>
      <c r="E89" s="61" t="str">
        <f>'Tube wts'!E77</f>
        <v>1R</v>
      </c>
      <c r="F89" s="61">
        <f>'Tube wts'!F77</f>
        <v>0</v>
      </c>
      <c r="G89" s="61">
        <f>'Tube wts'!G77</f>
        <v>0</v>
      </c>
      <c r="H89" s="70">
        <f t="shared" si="76"/>
        <v>0</v>
      </c>
      <c r="I89" s="70">
        <f t="shared" si="77"/>
        <v>0</v>
      </c>
      <c r="J89" s="73"/>
      <c r="K89" s="73"/>
      <c r="L89" s="73"/>
      <c r="M89" s="73"/>
      <c r="N89" s="73"/>
      <c r="O89" s="73"/>
      <c r="P89" s="73">
        <v>50</v>
      </c>
      <c r="Q89" s="74">
        <f t="shared" si="78"/>
        <v>20</v>
      </c>
      <c r="R89" s="75">
        <f t="shared" si="82"/>
        <v>0</v>
      </c>
      <c r="S89" s="75">
        <f t="shared" si="83"/>
        <v>0</v>
      </c>
      <c r="T89" s="75"/>
      <c r="U89" s="75"/>
      <c r="V89" s="75"/>
      <c r="W89" s="75"/>
      <c r="X89" s="79"/>
      <c r="Y89" s="95">
        <f t="shared" si="81"/>
        <v>0</v>
      </c>
    </row>
    <row r="90" spans="1:25" customFormat="1" x14ac:dyDescent="0.2">
      <c r="A90" s="57" t="s">
        <v>73</v>
      </c>
      <c r="B90" s="58">
        <v>9</v>
      </c>
      <c r="C90" s="93">
        <f t="shared" si="75"/>
        <v>43632</v>
      </c>
      <c r="D90" s="61" t="str">
        <f>'Tube wts'!D78</f>
        <v>m_4_0</v>
      </c>
      <c r="E90" s="61" t="str">
        <f>'Tube wts'!E78</f>
        <v>N</v>
      </c>
      <c r="F90" s="61">
        <f>'Tube wts'!F78</f>
        <v>0</v>
      </c>
      <c r="G90" s="61">
        <f>'Tube wts'!G78</f>
        <v>0</v>
      </c>
      <c r="H90" s="58">
        <f t="shared" si="76"/>
        <v>0</v>
      </c>
      <c r="I90" s="58">
        <f t="shared" si="77"/>
        <v>0</v>
      </c>
      <c r="J90" s="26"/>
      <c r="K90" s="73"/>
      <c r="L90" s="73"/>
      <c r="M90" s="73"/>
      <c r="N90" s="73"/>
      <c r="O90" s="73"/>
      <c r="P90" s="26">
        <v>50</v>
      </c>
      <c r="Q90" s="61">
        <f t="shared" si="78"/>
        <v>20</v>
      </c>
      <c r="R90" s="36">
        <f t="shared" si="82"/>
        <v>0</v>
      </c>
      <c r="S90" s="36">
        <f t="shared" si="83"/>
        <v>0</v>
      </c>
      <c r="T90" s="36"/>
      <c r="U90" s="36"/>
      <c r="V90" s="36"/>
      <c r="W90" s="36"/>
      <c r="X90" s="77"/>
      <c r="Y90" s="95">
        <f t="shared" si="81"/>
        <v>0</v>
      </c>
    </row>
    <row r="91" spans="1:25" customFormat="1" x14ac:dyDescent="0.2">
      <c r="A91" s="57" t="s">
        <v>73</v>
      </c>
      <c r="B91" s="58">
        <v>9</v>
      </c>
      <c r="C91" s="93">
        <f t="shared" si="75"/>
        <v>43632</v>
      </c>
      <c r="D91" s="61" t="str">
        <f>'Tube wts'!D79</f>
        <v>m_4_R</v>
      </c>
      <c r="E91" s="61" t="str">
        <f>'Tube wts'!E79</f>
        <v>1R</v>
      </c>
      <c r="F91" s="61">
        <f>'Tube wts'!F79</f>
        <v>0</v>
      </c>
      <c r="G91" s="61">
        <f>'Tube wts'!G79</f>
        <v>0</v>
      </c>
      <c r="H91" s="58">
        <f t="shared" si="76"/>
        <v>0</v>
      </c>
      <c r="I91" s="58">
        <f t="shared" si="77"/>
        <v>0</v>
      </c>
      <c r="J91" s="26"/>
      <c r="K91" s="73"/>
      <c r="L91" s="73"/>
      <c r="M91" s="73"/>
      <c r="N91" s="73"/>
      <c r="O91" s="73"/>
      <c r="P91" s="26">
        <v>50</v>
      </c>
      <c r="Q91" s="61">
        <f t="shared" si="78"/>
        <v>20</v>
      </c>
      <c r="R91" s="36">
        <f t="shared" si="82"/>
        <v>0</v>
      </c>
      <c r="S91" s="36">
        <f t="shared" si="83"/>
        <v>0</v>
      </c>
      <c r="T91" s="36"/>
      <c r="U91" s="36"/>
      <c r="V91" s="36"/>
      <c r="W91" s="36"/>
      <c r="X91" s="77"/>
      <c r="Y91" s="95">
        <f t="shared" si="81"/>
        <v>0</v>
      </c>
    </row>
    <row r="92" spans="1:25" customFormat="1" x14ac:dyDescent="0.2">
      <c r="A92" s="69" t="s">
        <v>7</v>
      </c>
      <c r="B92" s="70">
        <v>9</v>
      </c>
      <c r="C92" s="93">
        <f t="shared" si="75"/>
        <v>43632</v>
      </c>
      <c r="D92" s="61" t="str">
        <f>'Tube wts'!D80</f>
        <v>l_4_0</v>
      </c>
      <c r="E92" s="61" t="str">
        <f>'Tube wts'!E80</f>
        <v>N</v>
      </c>
      <c r="F92" s="61">
        <f>'Tube wts'!F80</f>
        <v>0</v>
      </c>
      <c r="G92" s="61">
        <f>'Tube wts'!G80</f>
        <v>0</v>
      </c>
      <c r="H92" s="70">
        <f t="shared" si="76"/>
        <v>0</v>
      </c>
      <c r="I92" s="70">
        <f t="shared" si="77"/>
        <v>0</v>
      </c>
      <c r="J92" s="73"/>
      <c r="K92" s="73"/>
      <c r="L92" s="73"/>
      <c r="M92" s="73"/>
      <c r="N92" s="73"/>
      <c r="O92" s="73"/>
      <c r="P92" s="73">
        <v>50</v>
      </c>
      <c r="Q92" s="74">
        <f t="shared" si="78"/>
        <v>20</v>
      </c>
      <c r="R92" s="75">
        <f t="shared" si="82"/>
        <v>0</v>
      </c>
      <c r="S92" s="75">
        <f t="shared" si="83"/>
        <v>0</v>
      </c>
      <c r="T92" s="75"/>
      <c r="U92" s="75"/>
      <c r="V92" s="75"/>
      <c r="W92" s="75"/>
      <c r="X92" s="79"/>
      <c r="Y92" s="95">
        <f t="shared" si="81"/>
        <v>0</v>
      </c>
    </row>
    <row r="93" spans="1:25" customFormat="1" ht="17" thickBot="1" x14ac:dyDescent="0.25">
      <c r="A93" s="81" t="s">
        <v>7</v>
      </c>
      <c r="B93" s="82">
        <v>9</v>
      </c>
      <c r="C93" s="127">
        <f t="shared" si="75"/>
        <v>43632</v>
      </c>
      <c r="D93" s="61" t="str">
        <f>'Tube wts'!D81</f>
        <v>l_4_R</v>
      </c>
      <c r="E93" s="61" t="str">
        <f>'Tube wts'!E81</f>
        <v>1R</v>
      </c>
      <c r="F93" s="61">
        <f>'Tube wts'!F81</f>
        <v>0</v>
      </c>
      <c r="G93" s="61">
        <f>'Tube wts'!G81</f>
        <v>0</v>
      </c>
      <c r="H93" s="82">
        <f t="shared" si="76"/>
        <v>0</v>
      </c>
      <c r="I93" s="82">
        <f t="shared" si="77"/>
        <v>0</v>
      </c>
      <c r="J93" s="86"/>
      <c r="K93" s="73"/>
      <c r="L93" s="73"/>
      <c r="M93" s="73"/>
      <c r="N93" s="73"/>
      <c r="O93" s="73"/>
      <c r="P93" s="85">
        <v>50</v>
      </c>
      <c r="Q93" s="87">
        <f t="shared" si="78"/>
        <v>20</v>
      </c>
      <c r="R93" s="88">
        <f t="shared" si="82"/>
        <v>0</v>
      </c>
      <c r="S93" s="88">
        <f t="shared" si="83"/>
        <v>0</v>
      </c>
      <c r="T93" s="88"/>
      <c r="U93" s="88"/>
      <c r="V93" s="88"/>
      <c r="W93" s="88"/>
      <c r="X93" s="89"/>
      <c r="Y93" s="95">
        <f t="shared" si="81"/>
        <v>0</v>
      </c>
    </row>
    <row r="94" spans="1:25" customFormat="1" x14ac:dyDescent="0.2">
      <c r="A94" s="20" t="s">
        <v>70</v>
      </c>
      <c r="B94" s="60">
        <v>10</v>
      </c>
      <c r="C94" s="131">
        <f t="shared" si="75"/>
        <v>43633</v>
      </c>
      <c r="D94" s="61" t="str">
        <f>'Tube wts'!D82</f>
        <v>nt_4_0</v>
      </c>
      <c r="E94" s="61" t="str">
        <f>'Tube wts'!E82</f>
        <v>N</v>
      </c>
      <c r="F94" s="61">
        <f>'Tube wts'!F82</f>
        <v>0</v>
      </c>
      <c r="G94" s="61">
        <f>'Tube wts'!G82</f>
        <v>0</v>
      </c>
      <c r="H94" s="60">
        <f>G94-F94</f>
        <v>0</v>
      </c>
      <c r="I94" s="60">
        <f>H94*9000</f>
        <v>0</v>
      </c>
      <c r="J94" s="26"/>
      <c r="K94" s="26"/>
      <c r="L94" s="61"/>
      <c r="M94" s="61"/>
      <c r="N94" s="61"/>
      <c r="O94" s="61"/>
      <c r="P94" s="61">
        <v>50</v>
      </c>
      <c r="Q94" s="61">
        <f>1/(P94/1000)</f>
        <v>20</v>
      </c>
      <c r="R94" s="36"/>
      <c r="S94" s="36"/>
      <c r="T94" s="36"/>
      <c r="U94" s="36"/>
      <c r="V94" s="36">
        <f>Q94 * (1/10^-5) *N94</f>
        <v>0</v>
      </c>
      <c r="W94" s="36">
        <f>Q94 * (1/10^-6) *O94</f>
        <v>0</v>
      </c>
      <c r="X94" s="94"/>
      <c r="Y94" s="95">
        <f t="shared" si="81"/>
        <v>0</v>
      </c>
    </row>
    <row r="95" spans="1:25" customFormat="1" x14ac:dyDescent="0.2">
      <c r="A95" s="57" t="s">
        <v>70</v>
      </c>
      <c r="B95" s="58">
        <v>10</v>
      </c>
      <c r="C95" s="93">
        <f t="shared" si="75"/>
        <v>43633</v>
      </c>
      <c r="D95" s="61" t="str">
        <f>'Tube wts'!D83</f>
        <v>nt_4_R</v>
      </c>
      <c r="E95" s="61" t="str">
        <f>'Tube wts'!E83</f>
        <v>1R</v>
      </c>
      <c r="F95" s="61">
        <f>'Tube wts'!F83</f>
        <v>0</v>
      </c>
      <c r="G95" s="61">
        <f>'Tube wts'!G83</f>
        <v>0</v>
      </c>
      <c r="H95" s="58">
        <f t="shared" ref="H95:H101" si="84">G95-F95</f>
        <v>0</v>
      </c>
      <c r="I95" s="58">
        <f t="shared" ref="I95:I101" si="85">H95*9000</f>
        <v>0</v>
      </c>
      <c r="J95" s="26"/>
      <c r="K95" s="26"/>
      <c r="L95" s="26"/>
      <c r="M95" s="26"/>
      <c r="N95" s="26"/>
      <c r="O95" s="26"/>
      <c r="P95" s="26">
        <v>50</v>
      </c>
      <c r="Q95" s="61">
        <f t="shared" ref="Q95:Q101" si="86">1/(P95/1000)</f>
        <v>20</v>
      </c>
      <c r="R95" s="36"/>
      <c r="S95" s="36"/>
      <c r="T95" s="36"/>
      <c r="U95" s="36"/>
      <c r="V95" s="36">
        <f t="shared" ref="V95" si="87">Q95 * (1/10^-5) *N95</f>
        <v>0</v>
      </c>
      <c r="W95" s="36">
        <f t="shared" ref="W95" si="88">Q95 * (1/10^-6) *O95</f>
        <v>0</v>
      </c>
      <c r="X95" s="77"/>
      <c r="Y95" s="95">
        <f t="shared" si="81"/>
        <v>0</v>
      </c>
    </row>
    <row r="96" spans="1:25" customFormat="1" x14ac:dyDescent="0.2">
      <c r="A96" s="69" t="s">
        <v>27</v>
      </c>
      <c r="B96" s="70">
        <v>10</v>
      </c>
      <c r="C96" s="93">
        <f t="shared" si="75"/>
        <v>43633</v>
      </c>
      <c r="D96" s="61" t="str">
        <f>'Tube wts'!D84</f>
        <v>f_4_0</v>
      </c>
      <c r="E96" s="61" t="str">
        <f>'Tube wts'!E84</f>
        <v>N</v>
      </c>
      <c r="F96" s="61">
        <f>'Tube wts'!F84</f>
        <v>0</v>
      </c>
      <c r="G96" s="61">
        <f>'Tube wts'!G84</f>
        <v>0</v>
      </c>
      <c r="H96" s="70">
        <f t="shared" si="84"/>
        <v>0</v>
      </c>
      <c r="I96" s="70">
        <f t="shared" si="85"/>
        <v>0</v>
      </c>
      <c r="J96" s="73"/>
      <c r="K96" s="73"/>
      <c r="L96" s="73"/>
      <c r="M96" s="73"/>
      <c r="N96" s="73"/>
      <c r="O96" s="73"/>
      <c r="P96" s="73">
        <v>50</v>
      </c>
      <c r="Q96" s="74">
        <f t="shared" si="86"/>
        <v>20</v>
      </c>
      <c r="R96" s="75">
        <f t="shared" ref="R96:R101" si="89">Q96 * (1/10^-1) *J96</f>
        <v>0</v>
      </c>
      <c r="S96" s="75"/>
      <c r="T96" s="75"/>
      <c r="U96" s="75"/>
      <c r="V96" s="75"/>
      <c r="W96" s="75"/>
      <c r="X96" s="79"/>
      <c r="Y96" s="95">
        <f t="shared" si="81"/>
        <v>0</v>
      </c>
    </row>
    <row r="97" spans="1:25" customFormat="1" x14ac:dyDescent="0.2">
      <c r="A97" s="69" t="s">
        <v>27</v>
      </c>
      <c r="B97" s="70">
        <v>10</v>
      </c>
      <c r="C97" s="93">
        <f t="shared" si="75"/>
        <v>43633</v>
      </c>
      <c r="D97" s="61" t="str">
        <f>'Tube wts'!D85</f>
        <v>f_4_R</v>
      </c>
      <c r="E97" s="61" t="str">
        <f>'Tube wts'!E85</f>
        <v>1R</v>
      </c>
      <c r="F97" s="61">
        <f>'Tube wts'!F85</f>
        <v>0</v>
      </c>
      <c r="G97" s="61">
        <f>'Tube wts'!G85</f>
        <v>0</v>
      </c>
      <c r="H97" s="70">
        <f t="shared" si="84"/>
        <v>0</v>
      </c>
      <c r="I97" s="70">
        <f t="shared" si="85"/>
        <v>0</v>
      </c>
      <c r="J97" s="73"/>
      <c r="K97" s="73"/>
      <c r="L97" s="73"/>
      <c r="M97" s="73"/>
      <c r="N97" s="73"/>
      <c r="O97" s="73"/>
      <c r="P97" s="73">
        <v>50</v>
      </c>
      <c r="Q97" s="74">
        <f t="shared" si="86"/>
        <v>20</v>
      </c>
      <c r="R97" s="75">
        <f t="shared" si="89"/>
        <v>0</v>
      </c>
      <c r="S97" s="75"/>
      <c r="T97" s="75"/>
      <c r="U97" s="75"/>
      <c r="V97" s="75"/>
      <c r="W97" s="75"/>
      <c r="X97" s="79"/>
      <c r="Y97" s="95">
        <f t="shared" si="81"/>
        <v>0</v>
      </c>
    </row>
    <row r="98" spans="1:25" customFormat="1" x14ac:dyDescent="0.2">
      <c r="A98" s="57" t="s">
        <v>73</v>
      </c>
      <c r="B98" s="58">
        <v>10</v>
      </c>
      <c r="C98" s="93">
        <f t="shared" si="75"/>
        <v>43633</v>
      </c>
      <c r="D98" s="61" t="str">
        <f>'Tube wts'!D86</f>
        <v>m_4_0</v>
      </c>
      <c r="E98" s="61" t="str">
        <f>'Tube wts'!E86</f>
        <v>N</v>
      </c>
      <c r="F98" s="61">
        <f>'Tube wts'!F86</f>
        <v>0</v>
      </c>
      <c r="G98" s="61">
        <f>'Tube wts'!G86</f>
        <v>0</v>
      </c>
      <c r="H98" s="58">
        <f t="shared" si="84"/>
        <v>0</v>
      </c>
      <c r="I98" s="58">
        <f t="shared" si="85"/>
        <v>0</v>
      </c>
      <c r="J98" s="26"/>
      <c r="K98" s="73"/>
      <c r="L98" s="73"/>
      <c r="M98" s="73"/>
      <c r="N98" s="73"/>
      <c r="O98" s="73"/>
      <c r="P98" s="26">
        <v>50</v>
      </c>
      <c r="Q98" s="61">
        <f t="shared" si="86"/>
        <v>20</v>
      </c>
      <c r="R98" s="36">
        <f t="shared" si="89"/>
        <v>0</v>
      </c>
      <c r="S98" s="36"/>
      <c r="T98" s="36"/>
      <c r="U98" s="36"/>
      <c r="V98" s="36"/>
      <c r="W98" s="36"/>
      <c r="X98" s="77"/>
      <c r="Y98" s="95">
        <f t="shared" si="81"/>
        <v>0</v>
      </c>
    </row>
    <row r="99" spans="1:25" customFormat="1" x14ac:dyDescent="0.2">
      <c r="A99" s="57" t="s">
        <v>73</v>
      </c>
      <c r="B99" s="58">
        <v>10</v>
      </c>
      <c r="C99" s="93">
        <f t="shared" si="75"/>
        <v>43633</v>
      </c>
      <c r="D99" s="61" t="str">
        <f>'Tube wts'!D87</f>
        <v>m_4_R</v>
      </c>
      <c r="E99" s="61" t="str">
        <f>'Tube wts'!E87</f>
        <v>1R</v>
      </c>
      <c r="F99" s="61">
        <f>'Tube wts'!F87</f>
        <v>0</v>
      </c>
      <c r="G99" s="61">
        <f>'Tube wts'!G87</f>
        <v>0</v>
      </c>
      <c r="H99" s="58">
        <f t="shared" si="84"/>
        <v>0</v>
      </c>
      <c r="I99" s="58">
        <f t="shared" si="85"/>
        <v>0</v>
      </c>
      <c r="J99" s="26"/>
      <c r="K99" s="73"/>
      <c r="L99" s="73"/>
      <c r="M99" s="73"/>
      <c r="N99" s="73"/>
      <c r="O99" s="73"/>
      <c r="P99" s="26">
        <v>50</v>
      </c>
      <c r="Q99" s="61">
        <f t="shared" si="86"/>
        <v>20</v>
      </c>
      <c r="R99" s="36">
        <f t="shared" si="89"/>
        <v>0</v>
      </c>
      <c r="S99" s="36"/>
      <c r="T99" s="36"/>
      <c r="U99" s="36"/>
      <c r="V99" s="36"/>
      <c r="W99" s="36"/>
      <c r="X99" s="77"/>
      <c r="Y99" s="95">
        <f t="shared" si="81"/>
        <v>0</v>
      </c>
    </row>
    <row r="100" spans="1:25" customFormat="1" x14ac:dyDescent="0.2">
      <c r="A100" s="69" t="s">
        <v>7</v>
      </c>
      <c r="B100" s="70">
        <v>10</v>
      </c>
      <c r="C100" s="93">
        <f t="shared" si="75"/>
        <v>43633</v>
      </c>
      <c r="D100" s="61" t="str">
        <f>'Tube wts'!D88</f>
        <v>l_4_0</v>
      </c>
      <c r="E100" s="61" t="str">
        <f>'Tube wts'!E88</f>
        <v>N</v>
      </c>
      <c r="F100" s="61">
        <f>'Tube wts'!F88</f>
        <v>0</v>
      </c>
      <c r="G100" s="61">
        <f>'Tube wts'!G88</f>
        <v>0</v>
      </c>
      <c r="H100" s="70">
        <f t="shared" si="84"/>
        <v>0</v>
      </c>
      <c r="I100" s="70">
        <f t="shared" si="85"/>
        <v>0</v>
      </c>
      <c r="J100" s="73"/>
      <c r="K100" s="73"/>
      <c r="L100" s="73"/>
      <c r="M100" s="73"/>
      <c r="N100" s="73"/>
      <c r="O100" s="73"/>
      <c r="P100" s="73">
        <v>50</v>
      </c>
      <c r="Q100" s="74">
        <f t="shared" si="86"/>
        <v>20</v>
      </c>
      <c r="R100" s="75">
        <f t="shared" si="89"/>
        <v>0</v>
      </c>
      <c r="S100" s="75"/>
      <c r="T100" s="75"/>
      <c r="U100" s="75"/>
      <c r="V100" s="75"/>
      <c r="W100" s="75"/>
      <c r="X100" s="79"/>
      <c r="Y100" s="95">
        <f t="shared" si="81"/>
        <v>0</v>
      </c>
    </row>
    <row r="101" spans="1:25" customFormat="1" ht="17" thickBot="1" x14ac:dyDescent="0.25">
      <c r="A101" s="81" t="s">
        <v>7</v>
      </c>
      <c r="B101" s="82">
        <v>10</v>
      </c>
      <c r="C101" s="140">
        <f t="shared" si="75"/>
        <v>43633</v>
      </c>
      <c r="D101" s="61" t="str">
        <f>'Tube wts'!D89</f>
        <v>l_4_R</v>
      </c>
      <c r="E101" s="61" t="str">
        <f>'Tube wts'!E89</f>
        <v>1R</v>
      </c>
      <c r="F101" s="61">
        <f>'Tube wts'!F89</f>
        <v>0</v>
      </c>
      <c r="G101" s="61">
        <f>'Tube wts'!G89</f>
        <v>0</v>
      </c>
      <c r="H101" s="82">
        <f t="shared" si="84"/>
        <v>0</v>
      </c>
      <c r="I101" s="82">
        <f t="shared" si="85"/>
        <v>0</v>
      </c>
      <c r="J101" s="86"/>
      <c r="K101" s="73"/>
      <c r="L101" s="73"/>
      <c r="M101" s="73"/>
      <c r="N101" s="73"/>
      <c r="O101" s="73"/>
      <c r="P101" s="85">
        <v>50</v>
      </c>
      <c r="Q101" s="87">
        <f t="shared" si="86"/>
        <v>20</v>
      </c>
      <c r="R101" s="88">
        <f t="shared" si="89"/>
        <v>0</v>
      </c>
      <c r="S101" s="88"/>
      <c r="T101" s="88"/>
      <c r="U101" s="88"/>
      <c r="V101" s="88"/>
      <c r="W101" s="88"/>
      <c r="X101" s="89"/>
      <c r="Y101" s="95">
        <f t="shared" si="81"/>
        <v>0</v>
      </c>
    </row>
    <row r="102" spans="1:25" x14ac:dyDescent="0.2">
      <c r="A102" s="45"/>
      <c r="B102" s="45"/>
      <c r="C102" s="96"/>
      <c r="D102" s="45"/>
      <c r="E102" s="45"/>
      <c r="F102" s="45"/>
      <c r="G102" s="45"/>
      <c r="H102" s="45"/>
      <c r="I102" s="45"/>
      <c r="Q102" s="97"/>
      <c r="U102" s="97"/>
    </row>
    <row r="103" spans="1:25" x14ac:dyDescent="0.2">
      <c r="A103" s="98"/>
      <c r="B103" s="99"/>
      <c r="C103" s="99"/>
      <c r="D103" s="98"/>
      <c r="E103" s="98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54"/>
      <c r="U103" s="99"/>
    </row>
    <row r="104" spans="1:25" x14ac:dyDescent="0.2">
      <c r="A104" s="100"/>
      <c r="B104" s="100"/>
      <c r="C104" s="101"/>
      <c r="D104" s="100"/>
      <c r="E104" s="100"/>
      <c r="F104" s="54"/>
      <c r="G104" s="54"/>
      <c r="H104" s="100"/>
      <c r="I104" s="100"/>
      <c r="J104" s="100"/>
      <c r="K104" s="54"/>
      <c r="L104" s="54"/>
      <c r="M104" s="54"/>
      <c r="N104" s="54"/>
      <c r="O104" s="54"/>
      <c r="P104" s="54"/>
      <c r="Q104" s="54"/>
      <c r="R104" s="102"/>
      <c r="S104" s="54"/>
      <c r="T104" s="54"/>
      <c r="U104" s="102"/>
    </row>
    <row r="105" spans="1:25" x14ac:dyDescent="0.2">
      <c r="A105" s="100"/>
      <c r="B105" s="100"/>
      <c r="C105" s="101"/>
      <c r="D105" s="100"/>
      <c r="E105" s="100"/>
      <c r="F105" s="54"/>
      <c r="G105" s="54"/>
      <c r="H105" s="100"/>
      <c r="I105" s="100"/>
      <c r="J105" s="54"/>
      <c r="K105" s="54"/>
      <c r="L105" s="54"/>
      <c r="M105" s="54"/>
      <c r="N105" s="54"/>
      <c r="O105" s="54"/>
      <c r="P105" s="54"/>
      <c r="Q105" s="54"/>
      <c r="R105" s="102"/>
      <c r="S105" s="54"/>
      <c r="T105" s="54"/>
      <c r="U105" s="102"/>
    </row>
    <row r="106" spans="1:25" x14ac:dyDescent="0.2">
      <c r="A106" s="100"/>
      <c r="B106" s="100"/>
      <c r="C106" s="101"/>
      <c r="D106" s="100"/>
      <c r="E106" s="100"/>
      <c r="F106" s="54"/>
      <c r="G106" s="54"/>
      <c r="H106" s="100"/>
      <c r="I106" s="100"/>
      <c r="J106" s="54"/>
      <c r="K106" s="54"/>
      <c r="L106" s="54"/>
      <c r="M106" s="54"/>
      <c r="N106" s="54"/>
      <c r="O106" s="54"/>
      <c r="P106" s="54"/>
      <c r="Q106" s="54"/>
      <c r="R106" s="102"/>
      <c r="S106" s="54"/>
      <c r="T106" s="54"/>
      <c r="U106" s="102"/>
    </row>
    <row r="107" spans="1:25" x14ac:dyDescent="0.2">
      <c r="A107" s="100"/>
      <c r="B107" s="100"/>
      <c r="C107" s="101"/>
      <c r="D107" s="100"/>
      <c r="E107" s="100"/>
      <c r="F107" s="54"/>
      <c r="G107" s="54"/>
      <c r="H107" s="100"/>
      <c r="I107" s="100"/>
      <c r="J107" s="54"/>
      <c r="K107" s="54"/>
      <c r="L107" s="54"/>
      <c r="M107" s="54"/>
      <c r="N107" s="54"/>
      <c r="O107" s="54"/>
      <c r="P107" s="54"/>
      <c r="Q107" s="54"/>
      <c r="R107" s="102"/>
      <c r="S107" s="54"/>
      <c r="T107" s="54"/>
      <c r="U107" s="102"/>
    </row>
    <row r="108" spans="1:25" x14ac:dyDescent="0.2">
      <c r="A108" s="100"/>
      <c r="B108" s="100"/>
      <c r="C108" s="101"/>
      <c r="D108" s="100"/>
      <c r="E108" s="100"/>
      <c r="F108" s="54"/>
      <c r="G108" s="54"/>
      <c r="H108" s="100"/>
      <c r="I108" s="100"/>
      <c r="J108" s="54"/>
      <c r="K108" s="54"/>
      <c r="L108" s="54"/>
      <c r="M108" s="54"/>
      <c r="N108" s="54"/>
      <c r="O108" s="54"/>
      <c r="P108" s="54"/>
      <c r="Q108" s="54"/>
      <c r="R108" s="102"/>
      <c r="S108" s="54"/>
      <c r="T108" s="54"/>
      <c r="U108" s="102"/>
    </row>
    <row r="109" spans="1:25" x14ac:dyDescent="0.2">
      <c r="A109" s="100"/>
      <c r="B109" s="100"/>
      <c r="C109" s="101"/>
      <c r="D109" s="100"/>
      <c r="E109" s="100"/>
      <c r="F109" s="54"/>
      <c r="G109" s="54"/>
      <c r="H109" s="100"/>
      <c r="I109" s="100"/>
      <c r="J109" s="54"/>
      <c r="K109" s="54"/>
      <c r="L109" s="54"/>
      <c r="M109" s="54"/>
      <c r="N109" s="54"/>
      <c r="O109" s="54"/>
      <c r="P109" s="54"/>
      <c r="Q109" s="54"/>
      <c r="R109" s="102"/>
      <c r="S109" s="54"/>
      <c r="T109" s="54"/>
      <c r="U109" s="102"/>
    </row>
    <row r="110" spans="1:25" x14ac:dyDescent="0.2">
      <c r="A110" s="100"/>
      <c r="B110" s="100"/>
      <c r="C110" s="101"/>
      <c r="D110" s="100"/>
      <c r="E110" s="100"/>
      <c r="F110" s="54"/>
      <c r="G110" s="54"/>
      <c r="H110" s="100"/>
      <c r="I110" s="100"/>
      <c r="J110" s="54"/>
      <c r="K110" s="54"/>
      <c r="L110" s="54"/>
      <c r="M110" s="54"/>
      <c r="N110" s="54"/>
      <c r="O110" s="54"/>
      <c r="P110" s="54"/>
      <c r="Q110" s="54"/>
      <c r="R110" s="102"/>
      <c r="S110" s="54"/>
      <c r="T110" s="54"/>
      <c r="U110" s="102"/>
    </row>
    <row r="111" spans="1:25" x14ac:dyDescent="0.2">
      <c r="A111" s="100"/>
      <c r="B111" s="100"/>
      <c r="C111" s="101"/>
      <c r="D111" s="100"/>
      <c r="E111" s="100"/>
      <c r="F111" s="54"/>
      <c r="G111" s="54"/>
      <c r="H111" s="100"/>
      <c r="I111" s="100"/>
      <c r="J111" s="54"/>
      <c r="K111" s="54"/>
      <c r="L111" s="54"/>
      <c r="M111" s="54"/>
      <c r="N111" s="54"/>
      <c r="O111" s="54"/>
      <c r="P111" s="54"/>
      <c r="Q111" s="54"/>
      <c r="R111" s="102"/>
      <c r="S111" s="54"/>
      <c r="T111" s="54"/>
      <c r="U111" s="102"/>
    </row>
    <row r="112" spans="1:25" x14ac:dyDescent="0.2">
      <c r="A112" s="45"/>
      <c r="B112" s="45"/>
      <c r="C112" s="96"/>
      <c r="D112" s="45"/>
      <c r="E112" s="45"/>
      <c r="F112" s="45"/>
      <c r="G112" s="45"/>
      <c r="H112" s="45"/>
      <c r="I112" s="45"/>
      <c r="Q112" s="97"/>
      <c r="U112" s="97"/>
    </row>
    <row r="113" spans="1:21" x14ac:dyDescent="0.2">
      <c r="A113" s="98"/>
      <c r="B113" s="99"/>
      <c r="C113" s="99"/>
      <c r="D113" s="98"/>
      <c r="E113" s="98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54"/>
      <c r="U113" s="99"/>
    </row>
    <row r="114" spans="1:21" x14ac:dyDescent="0.2">
      <c r="A114" s="100"/>
      <c r="B114" s="100"/>
      <c r="C114" s="101"/>
      <c r="D114" s="100"/>
      <c r="E114" s="100"/>
      <c r="F114" s="54"/>
      <c r="G114" s="54"/>
      <c r="H114" s="100"/>
      <c r="I114" s="100"/>
      <c r="J114" s="100"/>
      <c r="K114" s="54"/>
      <c r="L114" s="54"/>
      <c r="M114" s="54"/>
      <c r="N114" s="54"/>
      <c r="O114" s="54"/>
      <c r="P114" s="54"/>
      <c r="Q114" s="54"/>
      <c r="R114" s="102"/>
      <c r="S114" s="54"/>
      <c r="T114" s="54"/>
      <c r="U114" s="102"/>
    </row>
    <row r="115" spans="1:21" x14ac:dyDescent="0.2">
      <c r="A115" s="100"/>
      <c r="B115" s="100"/>
      <c r="C115" s="101"/>
      <c r="D115" s="100"/>
      <c r="E115" s="100"/>
      <c r="F115" s="54"/>
      <c r="G115" s="54"/>
      <c r="H115" s="100"/>
      <c r="I115" s="100"/>
      <c r="J115" s="54"/>
      <c r="K115" s="54"/>
      <c r="L115" s="54"/>
      <c r="M115" s="54"/>
      <c r="N115" s="54"/>
      <c r="O115" s="54"/>
      <c r="P115" s="54"/>
      <c r="Q115" s="54"/>
      <c r="R115" s="102"/>
      <c r="S115" s="54"/>
      <c r="T115" s="54"/>
      <c r="U115" s="102"/>
    </row>
    <row r="116" spans="1:21" x14ac:dyDescent="0.2">
      <c r="A116" s="100"/>
      <c r="B116" s="100"/>
      <c r="C116" s="101"/>
      <c r="D116" s="100"/>
      <c r="E116" s="100"/>
      <c r="F116" s="54"/>
      <c r="G116" s="54"/>
      <c r="H116" s="100"/>
      <c r="I116" s="100"/>
      <c r="J116" s="54"/>
      <c r="K116" s="54"/>
      <c r="L116" s="54"/>
      <c r="M116" s="54"/>
      <c r="N116" s="54"/>
      <c r="O116" s="54"/>
      <c r="P116" s="54"/>
      <c r="Q116" s="54"/>
      <c r="R116" s="102"/>
      <c r="S116" s="54"/>
      <c r="T116" s="54"/>
      <c r="U116" s="102"/>
    </row>
    <row r="117" spans="1:21" x14ac:dyDescent="0.2">
      <c r="A117" s="100"/>
      <c r="B117" s="100"/>
      <c r="C117" s="101"/>
      <c r="D117" s="100"/>
      <c r="E117" s="100"/>
      <c r="F117" s="54"/>
      <c r="G117" s="54"/>
      <c r="H117" s="100"/>
      <c r="I117" s="100"/>
      <c r="J117" s="54"/>
      <c r="K117" s="54"/>
      <c r="L117" s="54"/>
      <c r="M117" s="54"/>
      <c r="N117" s="54"/>
      <c r="O117" s="54"/>
      <c r="P117" s="54"/>
      <c r="Q117" s="54"/>
      <c r="R117" s="102"/>
      <c r="S117" s="54"/>
      <c r="T117" s="54"/>
      <c r="U117" s="102"/>
    </row>
    <row r="118" spans="1:21" x14ac:dyDescent="0.2">
      <c r="A118" s="100"/>
      <c r="B118" s="100"/>
      <c r="C118" s="101"/>
      <c r="D118" s="100"/>
      <c r="E118" s="100"/>
      <c r="F118" s="54"/>
      <c r="G118" s="54"/>
      <c r="H118" s="100"/>
      <c r="I118" s="100"/>
      <c r="J118" s="54"/>
      <c r="K118" s="54"/>
      <c r="L118" s="54"/>
      <c r="M118" s="54"/>
      <c r="N118" s="54"/>
      <c r="O118" s="54"/>
      <c r="P118" s="54"/>
      <c r="Q118" s="54"/>
      <c r="R118" s="102"/>
      <c r="S118" s="54"/>
      <c r="T118" s="54"/>
      <c r="U118" s="102"/>
    </row>
    <row r="119" spans="1:21" x14ac:dyDescent="0.2">
      <c r="A119" s="100"/>
      <c r="B119" s="100"/>
      <c r="C119" s="101"/>
      <c r="D119" s="100"/>
      <c r="E119" s="100"/>
      <c r="F119" s="54"/>
      <c r="G119" s="54"/>
      <c r="H119" s="100"/>
      <c r="I119" s="100"/>
      <c r="J119" s="54"/>
      <c r="K119" s="54"/>
      <c r="L119" s="54"/>
      <c r="M119" s="54"/>
      <c r="N119" s="54"/>
      <c r="O119" s="54"/>
      <c r="P119" s="54"/>
      <c r="Q119" s="54"/>
      <c r="R119" s="102"/>
      <c r="S119" s="54"/>
      <c r="T119" s="54"/>
      <c r="U119" s="102"/>
    </row>
    <row r="120" spans="1:21" x14ac:dyDescent="0.2">
      <c r="A120" s="100"/>
      <c r="B120" s="100"/>
      <c r="C120" s="101"/>
      <c r="D120" s="100"/>
      <c r="E120" s="100"/>
      <c r="F120" s="54"/>
      <c r="G120" s="54"/>
      <c r="H120" s="100"/>
      <c r="I120" s="100"/>
      <c r="J120" s="54"/>
      <c r="K120" s="54"/>
      <c r="L120" s="54"/>
      <c r="M120" s="54"/>
      <c r="N120" s="54"/>
      <c r="O120" s="54"/>
      <c r="P120" s="54"/>
      <c r="Q120" s="54"/>
      <c r="R120" s="102"/>
      <c r="S120" s="54"/>
      <c r="T120" s="54"/>
      <c r="U120" s="102"/>
    </row>
    <row r="121" spans="1:21" x14ac:dyDescent="0.2">
      <c r="A121" s="100"/>
      <c r="B121" s="100"/>
      <c r="C121" s="101"/>
      <c r="D121" s="100"/>
      <c r="E121" s="100"/>
      <c r="F121" s="54"/>
      <c r="G121" s="54"/>
      <c r="H121" s="100"/>
      <c r="I121" s="100"/>
      <c r="J121" s="54"/>
      <c r="K121" s="54"/>
      <c r="L121" s="54"/>
      <c r="M121" s="54"/>
      <c r="N121" s="54"/>
      <c r="O121" s="54"/>
      <c r="P121" s="54"/>
      <c r="Q121" s="54"/>
      <c r="R121" s="102"/>
      <c r="S121" s="54"/>
      <c r="T121" s="54"/>
      <c r="U121" s="102"/>
    </row>
  </sheetData>
  <pageMargins left="0.25" right="0.25" top="0.75" bottom="0.75" header="0.3" footer="0.3"/>
  <pageSetup scale="30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989A-3129-C04F-86C4-43D80396F7CC}">
  <dimension ref="A1:S129"/>
  <sheetViews>
    <sheetView topLeftCell="A102" workbookViewId="0">
      <selection activeCell="I129" sqref="A1:I129"/>
    </sheetView>
  </sheetViews>
  <sheetFormatPr baseColWidth="10" defaultRowHeight="16" x14ac:dyDescent="0.2"/>
  <cols>
    <col min="6" max="6" width="12.6640625" style="30" bestFit="1" customWidth="1"/>
  </cols>
  <sheetData>
    <row r="1" spans="1:19" x14ac:dyDescent="0.2">
      <c r="A1" s="153" t="s">
        <v>81</v>
      </c>
      <c r="B1" s="153" t="s">
        <v>137</v>
      </c>
      <c r="C1" s="153" t="s">
        <v>138</v>
      </c>
      <c r="D1" s="153" t="s">
        <v>140</v>
      </c>
      <c r="E1" s="153" t="s">
        <v>141</v>
      </c>
      <c r="F1" s="154" t="s">
        <v>142</v>
      </c>
      <c r="G1" s="155" t="s">
        <v>169</v>
      </c>
      <c r="H1" s="155" t="s">
        <v>139</v>
      </c>
      <c r="I1" s="189" t="s">
        <v>213</v>
      </c>
      <c r="J1" s="118"/>
      <c r="K1" s="118"/>
      <c r="L1" s="118"/>
      <c r="M1" s="118"/>
      <c r="N1" s="37"/>
      <c r="O1" s="37"/>
      <c r="P1" s="37"/>
      <c r="Q1" s="37"/>
      <c r="R1" s="37"/>
      <c r="S1" s="37"/>
    </row>
    <row r="2" spans="1:19" x14ac:dyDescent="0.2">
      <c r="A2" s="23" t="s">
        <v>70</v>
      </c>
      <c r="B2" s="17" t="str">
        <f>'C. diff CFUs'!D4</f>
        <v>nt_4_0</v>
      </c>
      <c r="C2" s="17" t="s">
        <v>39</v>
      </c>
      <c r="D2" s="17">
        <v>-2</v>
      </c>
      <c r="E2" s="13">
        <f>'Daily Weight '!E2</f>
        <v>25.1</v>
      </c>
      <c r="F2" s="30">
        <v>0</v>
      </c>
      <c r="G2" s="24" t="s">
        <v>170</v>
      </c>
      <c r="H2" s="121">
        <f t="shared" ref="H2:H8" si="0">H18+D2</f>
        <v>43621</v>
      </c>
      <c r="I2" t="s">
        <v>69</v>
      </c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x14ac:dyDescent="0.2">
      <c r="A3" s="17" t="s">
        <v>70</v>
      </c>
      <c r="B3" s="17" t="str">
        <f>'C. diff CFUs'!D5</f>
        <v>nt_4_R</v>
      </c>
      <c r="C3" s="17" t="s">
        <v>40</v>
      </c>
      <c r="D3" s="17">
        <v>-2</v>
      </c>
      <c r="E3" s="13">
        <f>'Daily Weight '!E3</f>
        <v>25.2</v>
      </c>
      <c r="F3" s="30">
        <v>0</v>
      </c>
      <c r="G3" s="24" t="s">
        <v>170</v>
      </c>
      <c r="H3" s="121">
        <f t="shared" si="0"/>
        <v>43621</v>
      </c>
      <c r="I3" t="s">
        <v>69</v>
      </c>
    </row>
    <row r="4" spans="1:19" x14ac:dyDescent="0.2">
      <c r="A4" s="25" t="s">
        <v>27</v>
      </c>
      <c r="B4" s="17" t="str">
        <f>'C. diff CFUs'!D6</f>
        <v>f_4_0</v>
      </c>
      <c r="C4" s="25" t="s">
        <v>39</v>
      </c>
      <c r="D4" s="17">
        <v>-2</v>
      </c>
      <c r="E4" s="13">
        <f>'Daily Weight '!E4</f>
        <v>23.3</v>
      </c>
      <c r="F4" s="30">
        <v>0</v>
      </c>
      <c r="G4" s="24" t="s">
        <v>170</v>
      </c>
      <c r="H4" s="121">
        <f t="shared" si="0"/>
        <v>43621</v>
      </c>
      <c r="I4" t="s">
        <v>107</v>
      </c>
    </row>
    <row r="5" spans="1:19" x14ac:dyDescent="0.2">
      <c r="A5" s="25" t="s">
        <v>27</v>
      </c>
      <c r="B5" s="17" t="str">
        <f>'C. diff CFUs'!D7</f>
        <v>f_4_R</v>
      </c>
      <c r="C5" s="25" t="s">
        <v>40</v>
      </c>
      <c r="D5" s="17">
        <v>-2</v>
      </c>
      <c r="E5" s="13">
        <f>'Daily Weight '!E5</f>
        <v>25.2</v>
      </c>
      <c r="F5" s="30">
        <v>0</v>
      </c>
      <c r="G5" s="24" t="s">
        <v>170</v>
      </c>
      <c r="H5" s="121">
        <f t="shared" si="0"/>
        <v>43621</v>
      </c>
      <c r="I5" t="s">
        <v>107</v>
      </c>
    </row>
    <row r="6" spans="1:19" x14ac:dyDescent="0.2">
      <c r="A6" s="23" t="s">
        <v>73</v>
      </c>
      <c r="B6" s="17" t="str">
        <f>'C. diff CFUs'!D8</f>
        <v>m_4_0</v>
      </c>
      <c r="C6" s="23" t="s">
        <v>39</v>
      </c>
      <c r="D6" s="17">
        <v>-2</v>
      </c>
      <c r="E6" s="13">
        <f>'Daily Weight '!E6</f>
        <v>25.1</v>
      </c>
      <c r="F6" s="30">
        <v>0</v>
      </c>
      <c r="G6" s="24" t="s">
        <v>170</v>
      </c>
      <c r="H6" s="121">
        <f t="shared" si="0"/>
        <v>43621</v>
      </c>
      <c r="I6" t="s">
        <v>71</v>
      </c>
    </row>
    <row r="7" spans="1:19" x14ac:dyDescent="0.2">
      <c r="A7" s="23" t="s">
        <v>73</v>
      </c>
      <c r="B7" s="17" t="str">
        <f>'C. diff CFUs'!D9</f>
        <v>m_4_R</v>
      </c>
      <c r="C7" s="23" t="s">
        <v>40</v>
      </c>
      <c r="D7" s="17">
        <v>-2</v>
      </c>
      <c r="E7" s="13">
        <f>'Daily Weight '!E7</f>
        <v>26.4</v>
      </c>
      <c r="F7" s="30">
        <v>0</v>
      </c>
      <c r="G7" s="24" t="s">
        <v>170</v>
      </c>
      <c r="H7" s="121">
        <f t="shared" si="0"/>
        <v>43621</v>
      </c>
      <c r="I7" t="s">
        <v>71</v>
      </c>
    </row>
    <row r="8" spans="1:19" x14ac:dyDescent="0.2">
      <c r="A8" s="25" t="s">
        <v>7</v>
      </c>
      <c r="B8" s="17" t="str">
        <f>'C. diff CFUs'!D10</f>
        <v>l_4_0</v>
      </c>
      <c r="C8" s="25" t="s">
        <v>39</v>
      </c>
      <c r="D8" s="17">
        <v>-2</v>
      </c>
      <c r="E8" s="13">
        <f>'Daily Weight '!E8</f>
        <v>27.5</v>
      </c>
      <c r="F8" s="30">
        <v>0</v>
      </c>
      <c r="G8" s="24" t="s">
        <v>170</v>
      </c>
      <c r="H8" s="121">
        <f t="shared" si="0"/>
        <v>43621</v>
      </c>
      <c r="I8" t="s">
        <v>108</v>
      </c>
    </row>
    <row r="9" spans="1:19" ht="17" thickBot="1" x14ac:dyDescent="0.25">
      <c r="A9" s="116" t="s">
        <v>7</v>
      </c>
      <c r="B9" s="17" t="str">
        <f>'C. diff CFUs'!D11</f>
        <v>l_4_R</v>
      </c>
      <c r="C9" s="116" t="s">
        <v>40</v>
      </c>
      <c r="D9" s="117">
        <v>-2</v>
      </c>
      <c r="E9" s="13">
        <f>'Daily Weight '!E9</f>
        <v>27</v>
      </c>
      <c r="F9" s="30">
        <v>0</v>
      </c>
      <c r="G9" s="24" t="s">
        <v>170</v>
      </c>
      <c r="H9" s="121">
        <f>H25+D9</f>
        <v>43621</v>
      </c>
      <c r="I9" t="s">
        <v>108</v>
      </c>
    </row>
    <row r="10" spans="1:19" x14ac:dyDescent="0.2">
      <c r="A10" s="23" t="s">
        <v>70</v>
      </c>
      <c r="B10" s="17" t="str">
        <f>'C. diff CFUs'!D4</f>
        <v>nt_4_0</v>
      </c>
      <c r="C10" s="17" t="s">
        <v>39</v>
      </c>
      <c r="D10" s="17">
        <v>-1</v>
      </c>
      <c r="E10" s="13">
        <f>'Daily Weight '!F2</f>
        <v>24.1</v>
      </c>
      <c r="F10" s="30">
        <v>0</v>
      </c>
      <c r="G10" s="24" t="s">
        <v>170</v>
      </c>
      <c r="H10" s="121">
        <f t="shared" ref="H10:H16" si="1">H18+D10</f>
        <v>43622</v>
      </c>
      <c r="I10" t="s">
        <v>69</v>
      </c>
    </row>
    <row r="11" spans="1:19" x14ac:dyDescent="0.2">
      <c r="A11" s="17" t="s">
        <v>70</v>
      </c>
      <c r="B11" s="17" t="str">
        <f>'C. diff CFUs'!D5</f>
        <v>nt_4_R</v>
      </c>
      <c r="C11" s="17" t="s">
        <v>40</v>
      </c>
      <c r="D11" s="17">
        <v>-1</v>
      </c>
      <c r="E11" s="13">
        <f>'Daily Weight '!F3</f>
        <v>24.5</v>
      </c>
      <c r="F11" s="30">
        <v>0</v>
      </c>
      <c r="G11" s="24" t="s">
        <v>170</v>
      </c>
      <c r="H11" s="121">
        <f t="shared" si="1"/>
        <v>43622</v>
      </c>
      <c r="I11" t="s">
        <v>69</v>
      </c>
    </row>
    <row r="12" spans="1:19" x14ac:dyDescent="0.2">
      <c r="A12" s="25" t="s">
        <v>27</v>
      </c>
      <c r="B12" s="17" t="str">
        <f>'C. diff CFUs'!D6</f>
        <v>f_4_0</v>
      </c>
      <c r="C12" s="25" t="s">
        <v>39</v>
      </c>
      <c r="D12" s="17">
        <v>-1</v>
      </c>
      <c r="E12" s="13">
        <f>'Daily Weight '!F4</f>
        <v>22.7</v>
      </c>
      <c r="F12" s="30">
        <v>0</v>
      </c>
      <c r="G12" s="24" t="s">
        <v>170</v>
      </c>
      <c r="H12" s="121">
        <f t="shared" si="1"/>
        <v>43622</v>
      </c>
      <c r="I12" t="s">
        <v>107</v>
      </c>
    </row>
    <row r="13" spans="1:19" x14ac:dyDescent="0.2">
      <c r="A13" s="25" t="s">
        <v>27</v>
      </c>
      <c r="B13" s="17" t="str">
        <f>'C. diff CFUs'!D7</f>
        <v>f_4_R</v>
      </c>
      <c r="C13" s="25" t="s">
        <v>40</v>
      </c>
      <c r="D13" s="17">
        <v>-1</v>
      </c>
      <c r="E13" s="13">
        <f>'Daily Weight '!F5</f>
        <v>24.9</v>
      </c>
      <c r="F13" s="30">
        <v>0</v>
      </c>
      <c r="G13" s="24" t="s">
        <v>170</v>
      </c>
      <c r="H13" s="121">
        <f t="shared" si="1"/>
        <v>43622</v>
      </c>
      <c r="I13" t="s">
        <v>107</v>
      </c>
    </row>
    <row r="14" spans="1:19" x14ac:dyDescent="0.2">
      <c r="A14" s="23" t="s">
        <v>73</v>
      </c>
      <c r="B14" s="17" t="str">
        <f>'C. diff CFUs'!D8</f>
        <v>m_4_0</v>
      </c>
      <c r="C14" s="23" t="s">
        <v>39</v>
      </c>
      <c r="D14" s="17">
        <v>-1</v>
      </c>
      <c r="E14" s="13">
        <f>'Daily Weight '!F6</f>
        <v>25.3</v>
      </c>
      <c r="F14" s="30">
        <v>0</v>
      </c>
      <c r="G14" s="24" t="s">
        <v>170</v>
      </c>
      <c r="H14" s="121">
        <f t="shared" si="1"/>
        <v>43622</v>
      </c>
      <c r="I14" t="s">
        <v>71</v>
      </c>
    </row>
    <row r="15" spans="1:19" x14ac:dyDescent="0.2">
      <c r="A15" s="23" t="s">
        <v>73</v>
      </c>
      <c r="B15" s="17" t="str">
        <f>'C. diff CFUs'!D9</f>
        <v>m_4_R</v>
      </c>
      <c r="C15" s="23" t="s">
        <v>40</v>
      </c>
      <c r="D15" s="17">
        <v>-1</v>
      </c>
      <c r="E15" s="13">
        <f>'Daily Weight '!F7</f>
        <v>26</v>
      </c>
      <c r="F15" s="30">
        <v>0</v>
      </c>
      <c r="G15" s="24" t="s">
        <v>170</v>
      </c>
      <c r="H15" s="121">
        <f t="shared" si="1"/>
        <v>43622</v>
      </c>
      <c r="I15" t="s">
        <v>71</v>
      </c>
    </row>
    <row r="16" spans="1:19" x14ac:dyDescent="0.2">
      <c r="A16" s="25" t="s">
        <v>7</v>
      </c>
      <c r="B16" s="17" t="str">
        <f>'C. diff CFUs'!D10</f>
        <v>l_4_0</v>
      </c>
      <c r="C16" s="25" t="s">
        <v>39</v>
      </c>
      <c r="D16" s="17">
        <v>-1</v>
      </c>
      <c r="E16" s="13">
        <f>'Daily Weight '!F8</f>
        <v>26.3</v>
      </c>
      <c r="F16" s="30">
        <v>0</v>
      </c>
      <c r="G16" s="24" t="s">
        <v>170</v>
      </c>
      <c r="H16" s="121">
        <f t="shared" si="1"/>
        <v>43622</v>
      </c>
      <c r="I16" t="s">
        <v>108</v>
      </c>
    </row>
    <row r="17" spans="1:9" ht="17" thickBot="1" x14ac:dyDescent="0.25">
      <c r="A17" s="116" t="s">
        <v>7</v>
      </c>
      <c r="B17" s="17" t="str">
        <f>'C. diff CFUs'!D11</f>
        <v>l_4_R</v>
      </c>
      <c r="C17" s="116" t="s">
        <v>40</v>
      </c>
      <c r="D17" s="117">
        <v>-1</v>
      </c>
      <c r="E17" s="13">
        <f>'Daily Weight '!F9</f>
        <v>26.4</v>
      </c>
      <c r="F17" s="30">
        <v>0</v>
      </c>
      <c r="G17" s="24" t="s">
        <v>170</v>
      </c>
      <c r="H17" s="121">
        <f>H25+D17</f>
        <v>43622</v>
      </c>
      <c r="I17" t="s">
        <v>108</v>
      </c>
    </row>
    <row r="18" spans="1:9" x14ac:dyDescent="0.2">
      <c r="A18" s="23" t="s">
        <v>70</v>
      </c>
      <c r="B18" s="17" t="str">
        <f>'C. diff CFUs'!D4</f>
        <v>nt_4_0</v>
      </c>
      <c r="C18" s="17" t="s">
        <v>39</v>
      </c>
      <c r="D18" s="17">
        <v>0</v>
      </c>
      <c r="E18" s="13">
        <f>'Daily Weight '!G2</f>
        <v>24.3</v>
      </c>
      <c r="F18" s="119">
        <f>'C. diff CFUs'!Y4</f>
        <v>0</v>
      </c>
      <c r="G18" s="24" t="s">
        <v>170</v>
      </c>
      <c r="H18" s="121">
        <f>'C. diff CFUs'!C4</f>
        <v>43623</v>
      </c>
      <c r="I18" t="s">
        <v>69</v>
      </c>
    </row>
    <row r="19" spans="1:9" x14ac:dyDescent="0.2">
      <c r="A19" s="17" t="s">
        <v>70</v>
      </c>
      <c r="B19" s="17" t="str">
        <f>'C. diff CFUs'!D5</f>
        <v>nt_4_R</v>
      </c>
      <c r="C19" s="17" t="s">
        <v>40</v>
      </c>
      <c r="D19" s="17">
        <v>0</v>
      </c>
      <c r="E19" s="13">
        <f>'Daily Weight '!G3</f>
        <v>24.5</v>
      </c>
      <c r="F19" s="119">
        <f>'C. diff CFUs'!Y5</f>
        <v>0</v>
      </c>
      <c r="G19" s="24" t="s">
        <v>170</v>
      </c>
      <c r="H19" s="121">
        <f>'C. diff CFUs'!C5</f>
        <v>43623</v>
      </c>
      <c r="I19" t="s">
        <v>69</v>
      </c>
    </row>
    <row r="20" spans="1:9" x14ac:dyDescent="0.2">
      <c r="A20" s="25" t="s">
        <v>27</v>
      </c>
      <c r="B20" s="17" t="str">
        <f>'C. diff CFUs'!D6</f>
        <v>f_4_0</v>
      </c>
      <c r="C20" s="25" t="s">
        <v>39</v>
      </c>
      <c r="D20" s="17">
        <v>0</v>
      </c>
      <c r="E20" s="13">
        <f>'Daily Weight '!G4</f>
        <v>22.2</v>
      </c>
      <c r="F20" s="119">
        <f>'C. diff CFUs'!Y6</f>
        <v>0</v>
      </c>
      <c r="G20" s="24" t="s">
        <v>170</v>
      </c>
      <c r="H20" s="121">
        <f>'C. diff CFUs'!C6</f>
        <v>43623</v>
      </c>
      <c r="I20" t="s">
        <v>107</v>
      </c>
    </row>
    <row r="21" spans="1:9" x14ac:dyDescent="0.2">
      <c r="A21" s="25" t="s">
        <v>27</v>
      </c>
      <c r="B21" s="17" t="str">
        <f>'C. diff CFUs'!D7</f>
        <v>f_4_R</v>
      </c>
      <c r="C21" s="25" t="s">
        <v>40</v>
      </c>
      <c r="D21" s="17">
        <v>0</v>
      </c>
      <c r="E21" s="13">
        <f>'Daily Weight '!G5</f>
        <v>24.8</v>
      </c>
      <c r="F21" s="119">
        <f>'C. diff CFUs'!Y7</f>
        <v>0</v>
      </c>
      <c r="G21" s="24" t="s">
        <v>170</v>
      </c>
      <c r="H21" s="121">
        <f>'C. diff CFUs'!C7</f>
        <v>43623</v>
      </c>
      <c r="I21" t="s">
        <v>107</v>
      </c>
    </row>
    <row r="22" spans="1:9" x14ac:dyDescent="0.2">
      <c r="A22" s="23" t="s">
        <v>73</v>
      </c>
      <c r="B22" s="17" t="str">
        <f>'C. diff CFUs'!D8</f>
        <v>m_4_0</v>
      </c>
      <c r="C22" s="23" t="s">
        <v>39</v>
      </c>
      <c r="D22" s="17">
        <v>0</v>
      </c>
      <c r="E22" s="13">
        <f>'Daily Weight '!G6</f>
        <v>25.2</v>
      </c>
      <c r="F22" s="119">
        <f>'C. diff CFUs'!Y8</f>
        <v>0</v>
      </c>
      <c r="G22" s="24" t="s">
        <v>170</v>
      </c>
      <c r="H22" s="121">
        <f>'C. diff CFUs'!C8</f>
        <v>43623</v>
      </c>
      <c r="I22" t="s">
        <v>71</v>
      </c>
    </row>
    <row r="23" spans="1:9" x14ac:dyDescent="0.2">
      <c r="A23" s="23" t="s">
        <v>73</v>
      </c>
      <c r="B23" s="17" t="str">
        <f>'C. diff CFUs'!D9</f>
        <v>m_4_R</v>
      </c>
      <c r="C23" s="23" t="s">
        <v>40</v>
      </c>
      <c r="D23" s="17">
        <v>0</v>
      </c>
      <c r="E23" s="13">
        <f>'Daily Weight '!G7</f>
        <v>26.3</v>
      </c>
      <c r="F23" s="119">
        <f>'C. diff CFUs'!Y9</f>
        <v>0</v>
      </c>
      <c r="G23" s="24" t="s">
        <v>170</v>
      </c>
      <c r="H23" s="121">
        <f>'C. diff CFUs'!C9</f>
        <v>43623</v>
      </c>
      <c r="I23" t="s">
        <v>71</v>
      </c>
    </row>
    <row r="24" spans="1:9" x14ac:dyDescent="0.2">
      <c r="A24" s="25" t="s">
        <v>7</v>
      </c>
      <c r="B24" s="17" t="str">
        <f>'C. diff CFUs'!D10</f>
        <v>l_4_0</v>
      </c>
      <c r="C24" s="25" t="s">
        <v>39</v>
      </c>
      <c r="D24" s="17">
        <v>0</v>
      </c>
      <c r="E24" s="13">
        <f>'Daily Weight '!G8</f>
        <v>27.3</v>
      </c>
      <c r="F24" s="119">
        <f>'C. diff CFUs'!Y10</f>
        <v>0</v>
      </c>
      <c r="G24" s="24" t="s">
        <v>170</v>
      </c>
      <c r="H24" s="121">
        <f>'C. diff CFUs'!C10</f>
        <v>43623</v>
      </c>
      <c r="I24" t="s">
        <v>108</v>
      </c>
    </row>
    <row r="25" spans="1:9" ht="17" thickBot="1" x14ac:dyDescent="0.25">
      <c r="A25" s="116" t="s">
        <v>7</v>
      </c>
      <c r="B25" s="17" t="str">
        <f>'C. diff CFUs'!D11</f>
        <v>l_4_R</v>
      </c>
      <c r="C25" s="116" t="s">
        <v>40</v>
      </c>
      <c r="D25" s="117">
        <v>0</v>
      </c>
      <c r="E25" s="13">
        <f>'Daily Weight '!G9</f>
        <v>26.6</v>
      </c>
      <c r="F25" s="119">
        <f>'C. diff CFUs'!Y11</f>
        <v>0</v>
      </c>
      <c r="G25" s="24" t="s">
        <v>170</v>
      </c>
      <c r="H25" s="121">
        <f>'C. diff CFUs'!C11</f>
        <v>43623</v>
      </c>
      <c r="I25" t="s">
        <v>108</v>
      </c>
    </row>
    <row r="26" spans="1:9" x14ac:dyDescent="0.2">
      <c r="A26" s="23" t="s">
        <v>70</v>
      </c>
      <c r="B26" s="17" t="str">
        <f>'C. diff CFUs'!D14</f>
        <v>nt_4_0</v>
      </c>
      <c r="C26" s="17" t="s">
        <v>39</v>
      </c>
      <c r="D26" s="17">
        <v>1</v>
      </c>
      <c r="E26" s="13">
        <f>'Daily Weight '!H2</f>
        <v>24.7</v>
      </c>
      <c r="F26" s="119">
        <f>'C. diff CFUs'!Y14</f>
        <v>136000000</v>
      </c>
      <c r="G26" s="24" t="s">
        <v>170</v>
      </c>
      <c r="H26" s="121">
        <f>'C. diff CFUs'!C14</f>
        <v>43624</v>
      </c>
      <c r="I26" t="s">
        <v>69</v>
      </c>
    </row>
    <row r="27" spans="1:9" x14ac:dyDescent="0.2">
      <c r="A27" s="17" t="s">
        <v>70</v>
      </c>
      <c r="B27" s="17" t="str">
        <f>'C. diff CFUs'!D15</f>
        <v>nt_4_R</v>
      </c>
      <c r="C27" s="17" t="s">
        <v>40</v>
      </c>
      <c r="D27" s="17">
        <v>1</v>
      </c>
      <c r="E27" s="13">
        <f>'Daily Weight '!H3</f>
        <v>24.7</v>
      </c>
      <c r="F27" s="119">
        <f>'C. diff CFUs'!Y15</f>
        <v>79600000</v>
      </c>
      <c r="G27" s="24" t="s">
        <v>170</v>
      </c>
      <c r="H27" s="121">
        <f>'C. diff CFUs'!C15</f>
        <v>43624</v>
      </c>
      <c r="I27" t="s">
        <v>69</v>
      </c>
    </row>
    <row r="28" spans="1:9" x14ac:dyDescent="0.2">
      <c r="A28" s="25" t="s">
        <v>27</v>
      </c>
      <c r="B28" s="17" t="str">
        <f>'C. diff CFUs'!D16</f>
        <v>f_4_0</v>
      </c>
      <c r="C28" s="25" t="s">
        <v>39</v>
      </c>
      <c r="D28" s="17">
        <v>1</v>
      </c>
      <c r="E28" s="13">
        <f>'Daily Weight '!H4</f>
        <v>23.1</v>
      </c>
      <c r="F28" s="119">
        <f>'C. diff CFUs'!Y16</f>
        <v>118666.66666666667</v>
      </c>
      <c r="G28" s="24" t="s">
        <v>170</v>
      </c>
      <c r="H28" s="121">
        <f>'C. diff CFUs'!C16</f>
        <v>43624</v>
      </c>
      <c r="I28" t="s">
        <v>107</v>
      </c>
    </row>
    <row r="29" spans="1:9" x14ac:dyDescent="0.2">
      <c r="A29" s="25" t="s">
        <v>27</v>
      </c>
      <c r="B29" s="17" t="str">
        <f>'C. diff CFUs'!D17</f>
        <v>f_4_R</v>
      </c>
      <c r="C29" s="25" t="s">
        <v>40</v>
      </c>
      <c r="D29" s="17">
        <v>1</v>
      </c>
      <c r="E29" s="13">
        <f>'Daily Weight '!H5</f>
        <v>25.4</v>
      </c>
      <c r="F29" s="119">
        <f>'C. diff CFUs'!Y17</f>
        <v>5200000</v>
      </c>
      <c r="G29" s="24" t="s">
        <v>170</v>
      </c>
      <c r="H29" s="121">
        <f>'C. diff CFUs'!C17</f>
        <v>43624</v>
      </c>
      <c r="I29" t="s">
        <v>107</v>
      </c>
    </row>
    <row r="30" spans="1:9" x14ac:dyDescent="0.2">
      <c r="A30" s="23" t="s">
        <v>73</v>
      </c>
      <c r="B30" s="17" t="str">
        <f>'C. diff CFUs'!D18</f>
        <v>m_4_0</v>
      </c>
      <c r="C30" s="23" t="s">
        <v>39</v>
      </c>
      <c r="D30" s="17">
        <v>1</v>
      </c>
      <c r="E30" s="13">
        <f>'Daily Weight '!H6</f>
        <v>25.4</v>
      </c>
      <c r="F30" s="119">
        <f>'C. diff CFUs'!Y18</f>
        <v>64799999.999999993</v>
      </c>
      <c r="G30" s="24" t="s">
        <v>170</v>
      </c>
      <c r="H30" s="121">
        <f>'C. diff CFUs'!C18</f>
        <v>43624</v>
      </c>
      <c r="I30" t="s">
        <v>71</v>
      </c>
    </row>
    <row r="31" spans="1:9" x14ac:dyDescent="0.2">
      <c r="A31" s="23" t="s">
        <v>73</v>
      </c>
      <c r="B31" s="17" t="str">
        <f>'C. diff CFUs'!D19</f>
        <v>m_4_R</v>
      </c>
      <c r="C31" s="23" t="s">
        <v>40</v>
      </c>
      <c r="D31" s="17">
        <v>1</v>
      </c>
      <c r="E31" s="13">
        <f>'Daily Weight '!H7</f>
        <v>26.7</v>
      </c>
      <c r="F31" s="119">
        <f>'C. diff CFUs'!Y19</f>
        <v>26000</v>
      </c>
      <c r="G31" s="24" t="s">
        <v>170</v>
      </c>
      <c r="H31" s="121">
        <f>'C. diff CFUs'!C19</f>
        <v>43624</v>
      </c>
      <c r="I31" t="s">
        <v>71</v>
      </c>
    </row>
    <row r="32" spans="1:9" x14ac:dyDescent="0.2">
      <c r="A32" s="25" t="s">
        <v>7</v>
      </c>
      <c r="B32" s="17" t="str">
        <f>'C. diff CFUs'!D20</f>
        <v>l_4_0</v>
      </c>
      <c r="C32" s="25" t="s">
        <v>39</v>
      </c>
      <c r="D32" s="17">
        <v>1</v>
      </c>
      <c r="E32" s="13">
        <f>'Daily Weight '!H8</f>
        <v>27</v>
      </c>
      <c r="F32" s="119">
        <f>'C. diff CFUs'!Y20</f>
        <v>30333333.333333332</v>
      </c>
      <c r="G32" s="24" t="s">
        <v>170</v>
      </c>
      <c r="H32" s="121">
        <f>'C. diff CFUs'!C20</f>
        <v>43624</v>
      </c>
      <c r="I32" t="s">
        <v>108</v>
      </c>
    </row>
    <row r="33" spans="1:9" ht="17" thickBot="1" x14ac:dyDescent="0.25">
      <c r="A33" s="116" t="s">
        <v>7</v>
      </c>
      <c r="B33" s="17" t="str">
        <f>'C. diff CFUs'!D21</f>
        <v>l_4_R</v>
      </c>
      <c r="C33" s="116" t="s">
        <v>40</v>
      </c>
      <c r="D33" s="117">
        <v>1</v>
      </c>
      <c r="E33" s="13">
        <f>'Daily Weight '!H9</f>
        <v>24.5</v>
      </c>
      <c r="F33" s="119" t="str">
        <f>'C. diff CFUs'!Y21</f>
        <v>NA</v>
      </c>
      <c r="G33" s="24" t="s">
        <v>170</v>
      </c>
      <c r="H33" s="121">
        <f>'C. diff CFUs'!C21</f>
        <v>43624</v>
      </c>
      <c r="I33" t="s">
        <v>108</v>
      </c>
    </row>
    <row r="34" spans="1:9" x14ac:dyDescent="0.2">
      <c r="A34" s="23" t="s">
        <v>70</v>
      </c>
      <c r="B34" s="17" t="str">
        <f>'C. diff CFUs'!D24</f>
        <v>nt_4_0</v>
      </c>
      <c r="C34" s="17" t="s">
        <v>39</v>
      </c>
      <c r="D34" s="17">
        <v>2</v>
      </c>
      <c r="E34" s="13">
        <f>'Daily Weight '!I2</f>
        <v>24.5</v>
      </c>
      <c r="F34" s="119">
        <f>'C. diff CFUs'!Y24</f>
        <v>1586666.6666666667</v>
      </c>
      <c r="G34" s="24" t="s">
        <v>170</v>
      </c>
      <c r="H34" s="121">
        <f>'C. diff CFUs'!C24</f>
        <v>43625</v>
      </c>
      <c r="I34" t="s">
        <v>69</v>
      </c>
    </row>
    <row r="35" spans="1:9" x14ac:dyDescent="0.2">
      <c r="A35" s="17" t="s">
        <v>70</v>
      </c>
      <c r="B35" s="17" t="str">
        <f>'C. diff CFUs'!D25</f>
        <v>nt_4_R</v>
      </c>
      <c r="C35" s="17" t="s">
        <v>40</v>
      </c>
      <c r="D35" s="17">
        <v>2</v>
      </c>
      <c r="E35" s="13">
        <f>'Daily Weight '!I3</f>
        <v>23.8</v>
      </c>
      <c r="F35" s="119">
        <f>'C. diff CFUs'!Y25</f>
        <v>862000</v>
      </c>
      <c r="G35" s="24" t="s">
        <v>170</v>
      </c>
      <c r="H35" s="121">
        <f>'C. diff CFUs'!C25</f>
        <v>43625</v>
      </c>
      <c r="I35" t="s">
        <v>69</v>
      </c>
    </row>
    <row r="36" spans="1:9" x14ac:dyDescent="0.2">
      <c r="A36" s="25" t="s">
        <v>27</v>
      </c>
      <c r="B36" s="17" t="str">
        <f>'C. diff CFUs'!D26</f>
        <v>f_4_0</v>
      </c>
      <c r="C36" s="25" t="s">
        <v>39</v>
      </c>
      <c r="D36" s="17">
        <v>2</v>
      </c>
      <c r="E36" s="13">
        <f>'Daily Weight '!I4</f>
        <v>22.6</v>
      </c>
      <c r="F36" s="119">
        <f>'C. diff CFUs'!Y26</f>
        <v>4000</v>
      </c>
      <c r="G36" s="24" t="s">
        <v>170</v>
      </c>
      <c r="H36" s="121">
        <f>'C. diff CFUs'!C26</f>
        <v>43625</v>
      </c>
      <c r="I36" t="s">
        <v>107</v>
      </c>
    </row>
    <row r="37" spans="1:9" x14ac:dyDescent="0.2">
      <c r="A37" s="25" t="s">
        <v>27</v>
      </c>
      <c r="B37" s="17" t="str">
        <f>'C. diff CFUs'!D27</f>
        <v>f_4_R</v>
      </c>
      <c r="C37" s="25" t="s">
        <v>40</v>
      </c>
      <c r="D37" s="17">
        <v>2</v>
      </c>
      <c r="E37" s="13">
        <f>'Daily Weight '!I5</f>
        <v>25.4</v>
      </c>
      <c r="F37" s="119">
        <f>'C. diff CFUs'!Y27</f>
        <v>284666.66666666669</v>
      </c>
      <c r="G37" s="24" t="s">
        <v>170</v>
      </c>
      <c r="H37" s="121">
        <f>'C. diff CFUs'!C27</f>
        <v>43625</v>
      </c>
      <c r="I37" t="s">
        <v>107</v>
      </c>
    </row>
    <row r="38" spans="1:9" x14ac:dyDescent="0.2">
      <c r="A38" s="23" t="s">
        <v>73</v>
      </c>
      <c r="B38" s="17" t="str">
        <f>'C. diff CFUs'!D28</f>
        <v>m_4_0</v>
      </c>
      <c r="C38" s="23" t="s">
        <v>39</v>
      </c>
      <c r="D38" s="17">
        <v>2</v>
      </c>
      <c r="E38" s="13">
        <f>'Daily Weight '!I6</f>
        <v>24.8</v>
      </c>
      <c r="F38" s="119">
        <f>'C. diff CFUs'!Y28</f>
        <v>7266666.666666667</v>
      </c>
      <c r="G38" s="24" t="s">
        <v>170</v>
      </c>
      <c r="H38" s="121">
        <f>'C. diff CFUs'!C28</f>
        <v>43625</v>
      </c>
      <c r="I38" t="s">
        <v>71</v>
      </c>
    </row>
    <row r="39" spans="1:9" x14ac:dyDescent="0.2">
      <c r="A39" s="23" t="s">
        <v>73</v>
      </c>
      <c r="B39" s="17" t="str">
        <f>'C. diff CFUs'!D29</f>
        <v>m_4_R</v>
      </c>
      <c r="C39" s="23" t="s">
        <v>40</v>
      </c>
      <c r="D39" s="17">
        <v>2</v>
      </c>
      <c r="E39" s="13">
        <f>'Daily Weight '!I7</f>
        <v>26.5</v>
      </c>
      <c r="F39" s="119">
        <f>'C. diff CFUs'!Y29</f>
        <v>2666.6666666666665</v>
      </c>
      <c r="G39" s="24" t="s">
        <v>170</v>
      </c>
      <c r="H39" s="121">
        <f>'C. diff CFUs'!C29</f>
        <v>43625</v>
      </c>
      <c r="I39" t="s">
        <v>71</v>
      </c>
    </row>
    <row r="40" spans="1:9" x14ac:dyDescent="0.2">
      <c r="A40" s="25" t="s">
        <v>7</v>
      </c>
      <c r="B40" s="17" t="str">
        <f>'C. diff CFUs'!D30</f>
        <v>l_4_0</v>
      </c>
      <c r="C40" s="25" t="s">
        <v>39</v>
      </c>
      <c r="D40" s="17">
        <v>2</v>
      </c>
      <c r="E40" s="13">
        <f>'Daily Weight '!I8</f>
        <v>28.2</v>
      </c>
      <c r="F40" s="119">
        <f>'C. diff CFUs'!Y30</f>
        <v>1200000</v>
      </c>
      <c r="G40" s="24" t="s">
        <v>170</v>
      </c>
      <c r="H40" s="121">
        <f>'C. diff CFUs'!C30</f>
        <v>43625</v>
      </c>
      <c r="I40" t="s">
        <v>108</v>
      </c>
    </row>
    <row r="41" spans="1:9" ht="17" thickBot="1" x14ac:dyDescent="0.25">
      <c r="A41" s="116" t="s">
        <v>7</v>
      </c>
      <c r="B41" s="17" t="str">
        <f>'C. diff CFUs'!D31</f>
        <v>l_4_R</v>
      </c>
      <c r="C41" s="116" t="s">
        <v>40</v>
      </c>
      <c r="D41" s="117">
        <v>2</v>
      </c>
      <c r="E41" s="13">
        <f>'Daily Weight '!I9</f>
        <v>25.3</v>
      </c>
      <c r="F41" s="119">
        <f>'C. diff CFUs'!Y31</f>
        <v>554000</v>
      </c>
      <c r="G41" s="24" t="s">
        <v>170</v>
      </c>
      <c r="H41" s="121">
        <f>'C. diff CFUs'!C31</f>
        <v>43625</v>
      </c>
      <c r="I41" t="s">
        <v>108</v>
      </c>
    </row>
    <row r="42" spans="1:9" x14ac:dyDescent="0.2">
      <c r="A42" s="23" t="s">
        <v>70</v>
      </c>
      <c r="B42" s="17" t="str">
        <f>'C. diff CFUs'!D34</f>
        <v>nt_4_0</v>
      </c>
      <c r="C42" s="17" t="s">
        <v>39</v>
      </c>
      <c r="D42" s="17">
        <v>3</v>
      </c>
      <c r="E42" s="13">
        <f>'Daily Weight '!J2</f>
        <v>24.8</v>
      </c>
      <c r="F42" s="119">
        <f>'C. diff CFUs'!Y34</f>
        <v>268666.66666666669</v>
      </c>
      <c r="G42" s="24" t="s">
        <v>170</v>
      </c>
      <c r="H42" s="121">
        <f>'C. diff CFUs'!C34</f>
        <v>43626</v>
      </c>
      <c r="I42" t="s">
        <v>69</v>
      </c>
    </row>
    <row r="43" spans="1:9" x14ac:dyDescent="0.2">
      <c r="A43" s="17" t="s">
        <v>70</v>
      </c>
      <c r="B43" s="17" t="str">
        <f>'C. diff CFUs'!D35</f>
        <v>nt_4_R</v>
      </c>
      <c r="C43" s="17" t="s">
        <v>40</v>
      </c>
      <c r="D43" s="17">
        <v>3</v>
      </c>
      <c r="E43" s="13">
        <f>'Daily Weight '!J3</f>
        <v>24.9</v>
      </c>
      <c r="F43" s="119">
        <f>'C. diff CFUs'!Y35</f>
        <v>930000</v>
      </c>
      <c r="G43" s="24" t="s">
        <v>170</v>
      </c>
      <c r="H43" s="121">
        <f>'C. diff CFUs'!C35</f>
        <v>43626</v>
      </c>
      <c r="I43" t="s">
        <v>69</v>
      </c>
    </row>
    <row r="44" spans="1:9" x14ac:dyDescent="0.2">
      <c r="A44" s="25" t="s">
        <v>27</v>
      </c>
      <c r="B44" s="17" t="str">
        <f>'C. diff CFUs'!D36</f>
        <v>f_4_0</v>
      </c>
      <c r="C44" s="25" t="s">
        <v>39</v>
      </c>
      <c r="D44" s="17">
        <v>3</v>
      </c>
      <c r="E44" s="13">
        <f>'Daily Weight '!J4</f>
        <v>22.7</v>
      </c>
      <c r="F44" s="119">
        <f>'C. diff CFUs'!Y36</f>
        <v>0</v>
      </c>
      <c r="G44" s="24" t="s">
        <v>170</v>
      </c>
      <c r="H44" s="121">
        <f>'C. diff CFUs'!C36</f>
        <v>43626</v>
      </c>
      <c r="I44" t="s">
        <v>107</v>
      </c>
    </row>
    <row r="45" spans="1:9" x14ac:dyDescent="0.2">
      <c r="A45" s="25" t="s">
        <v>27</v>
      </c>
      <c r="B45" s="17" t="str">
        <f>'C. diff CFUs'!D37</f>
        <v>f_4_R</v>
      </c>
      <c r="C45" s="25" t="s">
        <v>40</v>
      </c>
      <c r="D45" s="17">
        <v>3</v>
      </c>
      <c r="E45" s="13">
        <f>'Daily Weight '!J5</f>
        <v>25.8</v>
      </c>
      <c r="F45" s="119">
        <f>'C. diff CFUs'!Y37</f>
        <v>0</v>
      </c>
      <c r="G45" s="24" t="s">
        <v>170</v>
      </c>
      <c r="H45" s="121">
        <f>'C. diff CFUs'!C37</f>
        <v>43626</v>
      </c>
      <c r="I45" t="s">
        <v>107</v>
      </c>
    </row>
    <row r="46" spans="1:9" x14ac:dyDescent="0.2">
      <c r="A46" s="23" t="s">
        <v>73</v>
      </c>
      <c r="B46" s="17" t="str">
        <f>'C. diff CFUs'!D38</f>
        <v>m_4_0</v>
      </c>
      <c r="C46" s="23" t="s">
        <v>39</v>
      </c>
      <c r="D46" s="17">
        <v>3</v>
      </c>
      <c r="E46" s="13">
        <f>'Daily Weight '!J6</f>
        <v>24.8</v>
      </c>
      <c r="F46" s="119">
        <f>'C. diff CFUs'!Y38</f>
        <v>296000</v>
      </c>
      <c r="G46" s="24" t="s">
        <v>170</v>
      </c>
      <c r="H46" s="121">
        <f>'C. diff CFUs'!C38</f>
        <v>43626</v>
      </c>
      <c r="I46" t="s">
        <v>71</v>
      </c>
    </row>
    <row r="47" spans="1:9" x14ac:dyDescent="0.2">
      <c r="A47" s="23" t="s">
        <v>73</v>
      </c>
      <c r="B47" s="17" t="str">
        <f>'C. diff CFUs'!D39</f>
        <v>m_4_R</v>
      </c>
      <c r="C47" s="23" t="s">
        <v>40</v>
      </c>
      <c r="D47" s="17">
        <v>3</v>
      </c>
      <c r="E47" s="13">
        <f>'Daily Weight '!J7</f>
        <v>26.4</v>
      </c>
      <c r="F47" s="119">
        <f>'C. diff CFUs'!Y39</f>
        <v>4200</v>
      </c>
      <c r="G47" s="24" t="s">
        <v>170</v>
      </c>
      <c r="H47" s="121">
        <f>'C. diff CFUs'!C39</f>
        <v>43626</v>
      </c>
      <c r="I47" t="s">
        <v>71</v>
      </c>
    </row>
    <row r="48" spans="1:9" x14ac:dyDescent="0.2">
      <c r="A48" s="25" t="s">
        <v>7</v>
      </c>
      <c r="B48" s="17" t="str">
        <f>'C. diff CFUs'!D40</f>
        <v>l_4_0</v>
      </c>
      <c r="C48" s="25" t="s">
        <v>39</v>
      </c>
      <c r="D48" s="17">
        <v>3</v>
      </c>
      <c r="E48" s="13">
        <f>'Daily Weight '!J8</f>
        <v>28</v>
      </c>
      <c r="F48" s="119">
        <f>'C. diff CFUs'!Y40</f>
        <v>339333.33333333331</v>
      </c>
      <c r="G48" s="24" t="s">
        <v>170</v>
      </c>
      <c r="H48" s="121">
        <f>'C. diff CFUs'!C40</f>
        <v>43626</v>
      </c>
      <c r="I48" t="s">
        <v>108</v>
      </c>
    </row>
    <row r="49" spans="1:9" ht="17" thickBot="1" x14ac:dyDescent="0.25">
      <c r="A49" s="116" t="s">
        <v>7</v>
      </c>
      <c r="B49" s="17" t="str">
        <f>'C. diff CFUs'!D41</f>
        <v>l_4_R</v>
      </c>
      <c r="C49" s="116" t="s">
        <v>40</v>
      </c>
      <c r="D49" s="117">
        <v>3</v>
      </c>
      <c r="E49" s="13">
        <f>'Daily Weight '!J9</f>
        <v>26.5</v>
      </c>
      <c r="F49" s="119">
        <f>'C. diff CFUs'!Y41</f>
        <v>1300</v>
      </c>
      <c r="G49" s="24" t="s">
        <v>170</v>
      </c>
      <c r="H49" s="121">
        <f>'C. diff CFUs'!C41</f>
        <v>43626</v>
      </c>
      <c r="I49" t="s">
        <v>108</v>
      </c>
    </row>
    <row r="50" spans="1:9" x14ac:dyDescent="0.2">
      <c r="A50" s="23" t="s">
        <v>70</v>
      </c>
      <c r="B50" s="17" t="str">
        <f>'C. diff CFUs'!D44</f>
        <v>nt_4_0</v>
      </c>
      <c r="C50" s="17" t="s">
        <v>39</v>
      </c>
      <c r="D50" s="17">
        <v>4</v>
      </c>
      <c r="E50" s="13">
        <f>'Daily Weight '!K2</f>
        <v>24.6</v>
      </c>
      <c r="F50" s="119">
        <f>'C. diff CFUs'!Y44</f>
        <v>8333.3333333333339</v>
      </c>
      <c r="G50" s="24" t="s">
        <v>170</v>
      </c>
      <c r="H50" s="121">
        <f>'C. diff CFUs'!C44</f>
        <v>43627</v>
      </c>
      <c r="I50" t="s">
        <v>69</v>
      </c>
    </row>
    <row r="51" spans="1:9" x14ac:dyDescent="0.2">
      <c r="A51" s="17" t="s">
        <v>70</v>
      </c>
      <c r="B51" s="17" t="str">
        <f>'C. diff CFUs'!D45</f>
        <v>nt_4_R</v>
      </c>
      <c r="C51" s="17" t="s">
        <v>40</v>
      </c>
      <c r="D51" s="17">
        <v>4</v>
      </c>
      <c r="E51" s="13">
        <f>'Daily Weight '!K3</f>
        <v>24.9</v>
      </c>
      <c r="F51" s="119">
        <f>'C. diff CFUs'!Y45</f>
        <v>1000</v>
      </c>
      <c r="G51" s="24" t="s">
        <v>170</v>
      </c>
      <c r="H51" s="121">
        <f>'C. diff CFUs'!C45</f>
        <v>43627</v>
      </c>
      <c r="I51" t="s">
        <v>69</v>
      </c>
    </row>
    <row r="52" spans="1:9" x14ac:dyDescent="0.2">
      <c r="A52" s="25" t="s">
        <v>27</v>
      </c>
      <c r="B52" s="17" t="str">
        <f>'C. diff CFUs'!D46</f>
        <v>f_4_0</v>
      </c>
      <c r="C52" s="25" t="s">
        <v>39</v>
      </c>
      <c r="D52" s="17">
        <v>4</v>
      </c>
      <c r="E52" s="13">
        <f>'Daily Weight '!K4</f>
        <v>22.4</v>
      </c>
      <c r="F52" s="119">
        <f>'C. diff CFUs'!Y46</f>
        <v>0</v>
      </c>
      <c r="G52" s="24" t="s">
        <v>170</v>
      </c>
      <c r="H52" s="121">
        <f>'C. diff CFUs'!C46</f>
        <v>43627</v>
      </c>
      <c r="I52" t="s">
        <v>107</v>
      </c>
    </row>
    <row r="53" spans="1:9" x14ac:dyDescent="0.2">
      <c r="A53" s="25" t="s">
        <v>27</v>
      </c>
      <c r="B53" s="17" t="str">
        <f>'C. diff CFUs'!D47</f>
        <v>f_4_R</v>
      </c>
      <c r="C53" s="25" t="s">
        <v>40</v>
      </c>
      <c r="D53" s="17">
        <v>4</v>
      </c>
      <c r="E53" s="13">
        <f>'Daily Weight '!K5</f>
        <v>25.8</v>
      </c>
      <c r="F53" s="119">
        <f>'C. diff CFUs'!Y47</f>
        <v>0</v>
      </c>
      <c r="G53" s="24" t="s">
        <v>170</v>
      </c>
      <c r="H53" s="121">
        <f>'C. diff CFUs'!C47</f>
        <v>43627</v>
      </c>
      <c r="I53" t="s">
        <v>107</v>
      </c>
    </row>
    <row r="54" spans="1:9" x14ac:dyDescent="0.2">
      <c r="A54" s="23" t="s">
        <v>73</v>
      </c>
      <c r="B54" s="17" t="str">
        <f>'C. diff CFUs'!D48</f>
        <v>m_4_0</v>
      </c>
      <c r="C54" s="23" t="s">
        <v>39</v>
      </c>
      <c r="D54" s="17">
        <v>4</v>
      </c>
      <c r="E54" s="13">
        <f>'Daily Weight '!K6</f>
        <v>24.9</v>
      </c>
      <c r="F54" s="119">
        <f>'C. diff CFUs'!Y48</f>
        <v>0</v>
      </c>
      <c r="G54" s="24" t="s">
        <v>170</v>
      </c>
      <c r="H54" s="121">
        <f>'C. diff CFUs'!C48</f>
        <v>43627</v>
      </c>
      <c r="I54" t="s">
        <v>71</v>
      </c>
    </row>
    <row r="55" spans="1:9" x14ac:dyDescent="0.2">
      <c r="A55" s="23" t="s">
        <v>73</v>
      </c>
      <c r="B55" s="17" t="str">
        <f>'C. diff CFUs'!D49</f>
        <v>m_4_R</v>
      </c>
      <c r="C55" s="23" t="s">
        <v>40</v>
      </c>
      <c r="D55" s="17">
        <v>4</v>
      </c>
      <c r="E55" s="13">
        <f>'Daily Weight '!K7</f>
        <v>26.2</v>
      </c>
      <c r="F55" s="119">
        <f>'C. diff CFUs'!Y49</f>
        <v>0</v>
      </c>
      <c r="G55" s="24" t="s">
        <v>170</v>
      </c>
      <c r="H55" s="121">
        <f>'C. diff CFUs'!C49</f>
        <v>43627</v>
      </c>
      <c r="I55" t="s">
        <v>71</v>
      </c>
    </row>
    <row r="56" spans="1:9" x14ac:dyDescent="0.2">
      <c r="A56" s="25" t="s">
        <v>7</v>
      </c>
      <c r="B56" s="17" t="str">
        <f>'C. diff CFUs'!D50</f>
        <v>l_4_0</v>
      </c>
      <c r="C56" s="25" t="s">
        <v>39</v>
      </c>
      <c r="D56" s="17">
        <v>4</v>
      </c>
      <c r="E56" s="13">
        <f>'Daily Weight '!K8</f>
        <v>27.9</v>
      </c>
      <c r="F56" s="119">
        <f>'C. diff CFUs'!Y50</f>
        <v>3000</v>
      </c>
      <c r="G56" s="24" t="s">
        <v>170</v>
      </c>
      <c r="H56" s="121">
        <f>'C. diff CFUs'!C50</f>
        <v>43627</v>
      </c>
      <c r="I56" t="s">
        <v>108</v>
      </c>
    </row>
    <row r="57" spans="1:9" ht="17" thickBot="1" x14ac:dyDescent="0.25">
      <c r="A57" s="116" t="s">
        <v>7</v>
      </c>
      <c r="B57" s="17" t="str">
        <f>'C. diff CFUs'!D51</f>
        <v>l_4_R</v>
      </c>
      <c r="C57" s="116" t="s">
        <v>40</v>
      </c>
      <c r="D57" s="117">
        <v>4</v>
      </c>
      <c r="E57" s="13">
        <f>'Daily Weight '!K9</f>
        <v>27.8</v>
      </c>
      <c r="F57" s="119">
        <f>'C. diff CFUs'!Y51</f>
        <v>0</v>
      </c>
      <c r="G57" s="24" t="s">
        <v>170</v>
      </c>
      <c r="H57" s="121">
        <f>'C. diff CFUs'!C51</f>
        <v>43627</v>
      </c>
      <c r="I57" t="s">
        <v>108</v>
      </c>
    </row>
    <row r="58" spans="1:9" x14ac:dyDescent="0.2">
      <c r="A58" s="23" t="s">
        <v>70</v>
      </c>
      <c r="B58" s="17" t="str">
        <f>'C. diff CFUs'!D54</f>
        <v>nt_4_0</v>
      </c>
      <c r="C58" s="17" t="s">
        <v>39</v>
      </c>
      <c r="D58" s="17">
        <v>5</v>
      </c>
      <c r="E58" s="13">
        <f>'Daily Weight '!L2</f>
        <v>24.6</v>
      </c>
      <c r="F58" s="119">
        <f>'C. diff CFUs'!Y54</f>
        <v>13600</v>
      </c>
      <c r="G58" s="24" t="s">
        <v>170</v>
      </c>
      <c r="H58" s="121">
        <f>'C. diff CFUs'!C54</f>
        <v>43628</v>
      </c>
      <c r="I58" t="s">
        <v>69</v>
      </c>
    </row>
    <row r="59" spans="1:9" x14ac:dyDescent="0.2">
      <c r="A59" s="17" t="s">
        <v>70</v>
      </c>
      <c r="B59" s="17" t="str">
        <f>'C. diff CFUs'!D55</f>
        <v>nt_4_R</v>
      </c>
      <c r="C59" s="17" t="s">
        <v>40</v>
      </c>
      <c r="D59" s="17">
        <v>5</v>
      </c>
      <c r="E59" s="13">
        <f>'Daily Weight '!L3</f>
        <v>24.9</v>
      </c>
      <c r="F59" s="119">
        <f>'C. diff CFUs'!Y55</f>
        <v>6200</v>
      </c>
      <c r="G59" s="24" t="s">
        <v>170</v>
      </c>
      <c r="H59" s="121">
        <f>'C. diff CFUs'!C55</f>
        <v>43628</v>
      </c>
      <c r="I59" t="s">
        <v>69</v>
      </c>
    </row>
    <row r="60" spans="1:9" x14ac:dyDescent="0.2">
      <c r="A60" s="25" t="s">
        <v>27</v>
      </c>
      <c r="B60" s="17" t="str">
        <f>'C. diff CFUs'!D56</f>
        <v>f_4_0</v>
      </c>
      <c r="C60" s="25" t="s">
        <v>39</v>
      </c>
      <c r="D60" s="17">
        <v>5</v>
      </c>
      <c r="E60" s="13">
        <f>'Daily Weight '!L4</f>
        <v>22.7</v>
      </c>
      <c r="F60" s="119">
        <f>'C. diff CFUs'!Y56</f>
        <v>0</v>
      </c>
      <c r="G60" s="24" t="s">
        <v>170</v>
      </c>
      <c r="H60" s="121">
        <f>'C. diff CFUs'!C56</f>
        <v>43628</v>
      </c>
      <c r="I60" t="s">
        <v>107</v>
      </c>
    </row>
    <row r="61" spans="1:9" x14ac:dyDescent="0.2">
      <c r="A61" s="25" t="s">
        <v>27</v>
      </c>
      <c r="B61" s="17" t="str">
        <f>'C. diff CFUs'!D57</f>
        <v>f_4_R</v>
      </c>
      <c r="C61" s="25" t="s">
        <v>40</v>
      </c>
      <c r="D61" s="17">
        <v>5</v>
      </c>
      <c r="E61" s="13">
        <f>'Daily Weight '!L5</f>
        <v>25.5</v>
      </c>
      <c r="F61" s="119">
        <f>'C. diff CFUs'!Y57</f>
        <v>0</v>
      </c>
      <c r="G61" s="24" t="s">
        <v>170</v>
      </c>
      <c r="H61" s="121">
        <f>'C. diff CFUs'!C57</f>
        <v>43628</v>
      </c>
      <c r="I61" t="s">
        <v>107</v>
      </c>
    </row>
    <row r="62" spans="1:9" x14ac:dyDescent="0.2">
      <c r="A62" s="23" t="s">
        <v>73</v>
      </c>
      <c r="B62" s="17" t="str">
        <f>'C. diff CFUs'!D58</f>
        <v>m_4_0</v>
      </c>
      <c r="C62" s="23" t="s">
        <v>39</v>
      </c>
      <c r="D62" s="17">
        <v>5</v>
      </c>
      <c r="E62" s="13">
        <f>'Daily Weight '!L6</f>
        <v>24.9</v>
      </c>
      <c r="F62" s="119">
        <f>'C. diff CFUs'!Y58</f>
        <v>0</v>
      </c>
      <c r="G62" s="24" t="s">
        <v>170</v>
      </c>
      <c r="H62" s="121">
        <f>'C. diff CFUs'!C58</f>
        <v>43628</v>
      </c>
      <c r="I62" t="s">
        <v>71</v>
      </c>
    </row>
    <row r="63" spans="1:9" x14ac:dyDescent="0.2">
      <c r="A63" s="23" t="s">
        <v>73</v>
      </c>
      <c r="B63" s="17" t="str">
        <f>'C. diff CFUs'!D59</f>
        <v>m_4_R</v>
      </c>
      <c r="C63" s="23" t="s">
        <v>40</v>
      </c>
      <c r="D63" s="17">
        <v>5</v>
      </c>
      <c r="E63" s="13">
        <f>'Daily Weight '!L7</f>
        <v>26.1</v>
      </c>
      <c r="F63" s="119">
        <f>'C. diff CFUs'!Y59</f>
        <v>0</v>
      </c>
      <c r="G63" s="24" t="s">
        <v>170</v>
      </c>
      <c r="H63" s="121">
        <f>'C. diff CFUs'!C59</f>
        <v>43628</v>
      </c>
      <c r="I63" t="s">
        <v>71</v>
      </c>
    </row>
    <row r="64" spans="1:9" x14ac:dyDescent="0.2">
      <c r="A64" s="25" t="s">
        <v>7</v>
      </c>
      <c r="B64" s="17" t="str">
        <f>'C. diff CFUs'!D60</f>
        <v>l_4_0</v>
      </c>
      <c r="C64" s="25" t="s">
        <v>39</v>
      </c>
      <c r="D64" s="17">
        <v>5</v>
      </c>
      <c r="E64" s="13">
        <f>'Daily Weight '!L8</f>
        <v>27.5</v>
      </c>
      <c r="F64" s="119">
        <f>'C. diff CFUs'!Y60</f>
        <v>0</v>
      </c>
      <c r="G64" s="24" t="s">
        <v>170</v>
      </c>
      <c r="H64" s="121">
        <f>'C. diff CFUs'!C60</f>
        <v>43628</v>
      </c>
      <c r="I64" t="s">
        <v>108</v>
      </c>
    </row>
    <row r="65" spans="1:9" ht="17" thickBot="1" x14ac:dyDescent="0.25">
      <c r="A65" s="116" t="s">
        <v>7</v>
      </c>
      <c r="B65" s="17" t="str">
        <f>'C. diff CFUs'!D61</f>
        <v>l_4_R</v>
      </c>
      <c r="C65" s="116" t="s">
        <v>40</v>
      </c>
      <c r="D65" s="117">
        <v>5</v>
      </c>
      <c r="E65" s="13">
        <f>'Daily Weight '!L9</f>
        <v>27.3</v>
      </c>
      <c r="F65" s="119">
        <f>'C. diff CFUs'!Y61</f>
        <v>0</v>
      </c>
      <c r="G65" s="24" t="s">
        <v>170</v>
      </c>
      <c r="H65" s="121">
        <f>'C. diff CFUs'!C61</f>
        <v>43628</v>
      </c>
      <c r="I65" t="s">
        <v>108</v>
      </c>
    </row>
    <row r="66" spans="1:9" x14ac:dyDescent="0.2">
      <c r="A66" s="23" t="s">
        <v>70</v>
      </c>
      <c r="B66" s="17" t="str">
        <f>'C. diff CFUs'!D62</f>
        <v>nt_4_0</v>
      </c>
      <c r="C66" s="17" t="s">
        <v>39</v>
      </c>
      <c r="D66" s="17">
        <v>6</v>
      </c>
      <c r="E66" s="13">
        <f>'Daily Weight '!M2</f>
        <v>0</v>
      </c>
      <c r="F66" s="119">
        <f>'C. diff CFUs'!Y62</f>
        <v>0</v>
      </c>
      <c r="G66" s="24" t="s">
        <v>170</v>
      </c>
      <c r="H66" s="121">
        <f>'C. diff CFUs'!C62</f>
        <v>43629</v>
      </c>
      <c r="I66" t="s">
        <v>69</v>
      </c>
    </row>
    <row r="67" spans="1:9" x14ac:dyDescent="0.2">
      <c r="A67" s="17" t="s">
        <v>70</v>
      </c>
      <c r="B67" s="17" t="str">
        <f>'C. diff CFUs'!D63</f>
        <v>nt_4_R</v>
      </c>
      <c r="C67" s="17" t="s">
        <v>40</v>
      </c>
      <c r="D67" s="17">
        <v>6</v>
      </c>
      <c r="E67" s="13">
        <f>'Daily Weight '!M3</f>
        <v>0</v>
      </c>
      <c r="F67" s="119">
        <f>'C. diff CFUs'!Y63</f>
        <v>0</v>
      </c>
      <c r="G67" s="24" t="s">
        <v>170</v>
      </c>
      <c r="H67" s="121">
        <f>'C. diff CFUs'!C63</f>
        <v>43629</v>
      </c>
      <c r="I67" t="s">
        <v>69</v>
      </c>
    </row>
    <row r="68" spans="1:9" x14ac:dyDescent="0.2">
      <c r="A68" s="25" t="s">
        <v>27</v>
      </c>
      <c r="B68" s="17" t="str">
        <f>'C. diff CFUs'!D64</f>
        <v>f_4_0</v>
      </c>
      <c r="C68" s="25" t="s">
        <v>39</v>
      </c>
      <c r="D68" s="17">
        <v>6</v>
      </c>
      <c r="E68" s="13">
        <f>'Daily Weight '!M4</f>
        <v>0</v>
      </c>
      <c r="F68" s="119">
        <f>'C. diff CFUs'!Y64</f>
        <v>0</v>
      </c>
      <c r="G68" s="24" t="s">
        <v>170</v>
      </c>
      <c r="H68" s="121">
        <f>'C. diff CFUs'!C64</f>
        <v>43629</v>
      </c>
      <c r="I68" t="s">
        <v>107</v>
      </c>
    </row>
    <row r="69" spans="1:9" x14ac:dyDescent="0.2">
      <c r="A69" s="25" t="s">
        <v>27</v>
      </c>
      <c r="B69" s="17" t="str">
        <f>'C. diff CFUs'!D65</f>
        <v>f_4_R</v>
      </c>
      <c r="C69" s="25" t="s">
        <v>40</v>
      </c>
      <c r="D69" s="17">
        <v>6</v>
      </c>
      <c r="E69" s="13">
        <f>'Daily Weight '!M5</f>
        <v>0</v>
      </c>
      <c r="F69" s="119">
        <f>'C. diff CFUs'!Y65</f>
        <v>0</v>
      </c>
      <c r="G69" s="24" t="s">
        <v>170</v>
      </c>
      <c r="H69" s="121">
        <f>'C. diff CFUs'!C65</f>
        <v>43629</v>
      </c>
      <c r="I69" t="s">
        <v>107</v>
      </c>
    </row>
    <row r="70" spans="1:9" x14ac:dyDescent="0.2">
      <c r="A70" s="23" t="s">
        <v>73</v>
      </c>
      <c r="B70" s="17" t="str">
        <f>'C. diff CFUs'!D66</f>
        <v>m_4_0</v>
      </c>
      <c r="C70" s="23" t="s">
        <v>39</v>
      </c>
      <c r="D70" s="17">
        <v>6</v>
      </c>
      <c r="E70" s="13">
        <f>'Daily Weight '!M6</f>
        <v>0</v>
      </c>
      <c r="F70" s="119">
        <f>'C. diff CFUs'!Y66</f>
        <v>0</v>
      </c>
      <c r="G70" s="24" t="s">
        <v>170</v>
      </c>
      <c r="H70" s="121">
        <f>'C. diff CFUs'!C66</f>
        <v>43629</v>
      </c>
      <c r="I70" t="s">
        <v>71</v>
      </c>
    </row>
    <row r="71" spans="1:9" x14ac:dyDescent="0.2">
      <c r="A71" s="23" t="s">
        <v>73</v>
      </c>
      <c r="B71" s="17" t="str">
        <f>'C. diff CFUs'!D67</f>
        <v>m_4_R</v>
      </c>
      <c r="C71" s="23" t="s">
        <v>40</v>
      </c>
      <c r="D71" s="17">
        <v>6</v>
      </c>
      <c r="E71" s="13">
        <f>'Daily Weight '!M7</f>
        <v>0</v>
      </c>
      <c r="F71" s="119">
        <f>'C. diff CFUs'!Y67</f>
        <v>0</v>
      </c>
      <c r="G71" s="24" t="s">
        <v>170</v>
      </c>
      <c r="H71" s="121">
        <f>'C. diff CFUs'!C67</f>
        <v>43629</v>
      </c>
      <c r="I71" t="s">
        <v>71</v>
      </c>
    </row>
    <row r="72" spans="1:9" x14ac:dyDescent="0.2">
      <c r="A72" s="25" t="s">
        <v>7</v>
      </c>
      <c r="B72" s="17" t="str">
        <f>'C. diff CFUs'!D68</f>
        <v>l_4_0</v>
      </c>
      <c r="C72" s="25" t="s">
        <v>39</v>
      </c>
      <c r="D72" s="17">
        <v>6</v>
      </c>
      <c r="E72" s="13">
        <f>'Daily Weight '!M8</f>
        <v>0</v>
      </c>
      <c r="F72" s="119">
        <f>'C. diff CFUs'!Y68</f>
        <v>0</v>
      </c>
      <c r="G72" s="24" t="s">
        <v>170</v>
      </c>
      <c r="H72" s="121">
        <f>'C. diff CFUs'!C68</f>
        <v>43629</v>
      </c>
      <c r="I72" t="s">
        <v>108</v>
      </c>
    </row>
    <row r="73" spans="1:9" ht="17" thickBot="1" x14ac:dyDescent="0.25">
      <c r="A73" s="116" t="s">
        <v>7</v>
      </c>
      <c r="B73" s="17" t="str">
        <f>'C. diff CFUs'!D69</f>
        <v>l_4_R</v>
      </c>
      <c r="C73" s="116" t="s">
        <v>40</v>
      </c>
      <c r="D73" s="117">
        <v>6</v>
      </c>
      <c r="E73" s="13">
        <f>'Daily Weight '!M9</f>
        <v>0</v>
      </c>
      <c r="F73" s="119">
        <f>'C. diff CFUs'!Y69</f>
        <v>0</v>
      </c>
      <c r="G73" s="24" t="s">
        <v>170</v>
      </c>
      <c r="H73" s="121">
        <f>'C. diff CFUs'!C69</f>
        <v>43629</v>
      </c>
      <c r="I73" t="s">
        <v>108</v>
      </c>
    </row>
    <row r="74" spans="1:9" x14ac:dyDescent="0.2">
      <c r="A74" s="23" t="s">
        <v>70</v>
      </c>
      <c r="B74" s="17" t="str">
        <f>'C. diff CFUs'!D70</f>
        <v>nt_4_0</v>
      </c>
      <c r="C74" s="17" t="s">
        <v>39</v>
      </c>
      <c r="D74" s="17">
        <v>7</v>
      </c>
      <c r="E74" s="13">
        <f>'Daily Weight '!P2</f>
        <v>0</v>
      </c>
      <c r="F74" s="119">
        <f>'C. diff CFUs'!Y70</f>
        <v>0</v>
      </c>
      <c r="G74" s="24" t="s">
        <v>170</v>
      </c>
      <c r="H74" s="121">
        <f>'C. diff CFUs'!C70</f>
        <v>43630</v>
      </c>
      <c r="I74" t="s">
        <v>69</v>
      </c>
    </row>
    <row r="75" spans="1:9" x14ac:dyDescent="0.2">
      <c r="A75" s="17" t="s">
        <v>70</v>
      </c>
      <c r="B75" s="17" t="str">
        <f>'C. diff CFUs'!D71</f>
        <v>nt_4_R</v>
      </c>
      <c r="C75" s="17" t="s">
        <v>40</v>
      </c>
      <c r="D75" s="17">
        <v>7</v>
      </c>
      <c r="E75" s="13">
        <f>'Daily Weight '!P3</f>
        <v>0</v>
      </c>
      <c r="F75" s="119">
        <f>'C. diff CFUs'!Y71</f>
        <v>0</v>
      </c>
      <c r="G75" s="24" t="s">
        <v>170</v>
      </c>
      <c r="H75" s="121">
        <f>'C. diff CFUs'!C71</f>
        <v>43630</v>
      </c>
      <c r="I75" t="s">
        <v>69</v>
      </c>
    </row>
    <row r="76" spans="1:9" x14ac:dyDescent="0.2">
      <c r="A76" s="25" t="s">
        <v>27</v>
      </c>
      <c r="B76" s="17" t="str">
        <f>'C. diff CFUs'!D72</f>
        <v>f_4_0</v>
      </c>
      <c r="C76" s="25" t="s">
        <v>39</v>
      </c>
      <c r="D76" s="17">
        <v>7</v>
      </c>
      <c r="E76" s="13">
        <f>'Daily Weight '!P4</f>
        <v>0</v>
      </c>
      <c r="F76" s="119">
        <f>'C. diff CFUs'!Y72</f>
        <v>0</v>
      </c>
      <c r="G76" s="24" t="s">
        <v>170</v>
      </c>
      <c r="H76" s="121">
        <f>'C. diff CFUs'!C72</f>
        <v>43630</v>
      </c>
      <c r="I76" t="s">
        <v>107</v>
      </c>
    </row>
    <row r="77" spans="1:9" x14ac:dyDescent="0.2">
      <c r="A77" s="25" t="s">
        <v>27</v>
      </c>
      <c r="B77" s="17" t="str">
        <f>'C. diff CFUs'!D73</f>
        <v>f_4_R</v>
      </c>
      <c r="C77" s="25" t="s">
        <v>40</v>
      </c>
      <c r="D77" s="17">
        <v>7</v>
      </c>
      <c r="E77" s="13">
        <f>'Daily Weight '!P5</f>
        <v>0</v>
      </c>
      <c r="F77" s="119">
        <f>'C. diff CFUs'!Y73</f>
        <v>0</v>
      </c>
      <c r="G77" s="24" t="s">
        <v>170</v>
      </c>
      <c r="H77" s="121">
        <f>'C. diff CFUs'!C73</f>
        <v>43630</v>
      </c>
      <c r="I77" t="s">
        <v>107</v>
      </c>
    </row>
    <row r="78" spans="1:9" x14ac:dyDescent="0.2">
      <c r="A78" s="23" t="s">
        <v>73</v>
      </c>
      <c r="B78" s="17" t="str">
        <f>'C. diff CFUs'!D74</f>
        <v>m_4_0</v>
      </c>
      <c r="C78" s="23" t="s">
        <v>39</v>
      </c>
      <c r="D78" s="17">
        <v>7</v>
      </c>
      <c r="E78" s="13">
        <f>'Daily Weight '!P6</f>
        <v>0</v>
      </c>
      <c r="F78" s="119">
        <f>'C. diff CFUs'!Y74</f>
        <v>0</v>
      </c>
      <c r="G78" s="24" t="s">
        <v>170</v>
      </c>
      <c r="H78" s="121">
        <f>'C. diff CFUs'!C74</f>
        <v>43630</v>
      </c>
      <c r="I78" t="s">
        <v>71</v>
      </c>
    </row>
    <row r="79" spans="1:9" x14ac:dyDescent="0.2">
      <c r="A79" s="23" t="s">
        <v>73</v>
      </c>
      <c r="B79" s="17" t="str">
        <f>'C. diff CFUs'!D75</f>
        <v>m_4_R</v>
      </c>
      <c r="C79" s="23" t="s">
        <v>40</v>
      </c>
      <c r="D79" s="17">
        <v>7</v>
      </c>
      <c r="E79" s="13">
        <f>'Daily Weight '!P7</f>
        <v>0</v>
      </c>
      <c r="F79" s="119">
        <f>'C. diff CFUs'!Y75</f>
        <v>0</v>
      </c>
      <c r="G79" s="24" t="s">
        <v>170</v>
      </c>
      <c r="H79" s="121">
        <f>'C. diff CFUs'!C75</f>
        <v>43630</v>
      </c>
      <c r="I79" t="s">
        <v>71</v>
      </c>
    </row>
    <row r="80" spans="1:9" x14ac:dyDescent="0.2">
      <c r="A80" s="25" t="s">
        <v>7</v>
      </c>
      <c r="B80" s="17" t="str">
        <f>'C. diff CFUs'!D76</f>
        <v>l_4_0</v>
      </c>
      <c r="C80" s="25" t="s">
        <v>39</v>
      </c>
      <c r="D80" s="17">
        <v>7</v>
      </c>
      <c r="E80" s="13">
        <f>'Daily Weight '!P8</f>
        <v>0</v>
      </c>
      <c r="F80" s="119">
        <f>'C. diff CFUs'!Y76</f>
        <v>0</v>
      </c>
      <c r="G80" s="24" t="s">
        <v>170</v>
      </c>
      <c r="H80" s="121">
        <f>'C. diff CFUs'!C76</f>
        <v>43630</v>
      </c>
      <c r="I80" t="s">
        <v>108</v>
      </c>
    </row>
    <row r="81" spans="1:9" ht="17" thickBot="1" x14ac:dyDescent="0.25">
      <c r="A81" s="116" t="s">
        <v>7</v>
      </c>
      <c r="B81" s="17" t="str">
        <f>'C. diff CFUs'!D77</f>
        <v>l_4_R</v>
      </c>
      <c r="C81" s="116" t="s">
        <v>40</v>
      </c>
      <c r="D81" s="117">
        <v>7</v>
      </c>
      <c r="E81" s="13">
        <f>'Daily Weight '!P9</f>
        <v>0</v>
      </c>
      <c r="F81" s="119">
        <f>'C. diff CFUs'!Y77</f>
        <v>0</v>
      </c>
      <c r="G81" s="24" t="s">
        <v>170</v>
      </c>
      <c r="H81" s="121">
        <f>'C. diff CFUs'!C77</f>
        <v>43630</v>
      </c>
      <c r="I81" t="s">
        <v>108</v>
      </c>
    </row>
    <row r="82" spans="1:9" x14ac:dyDescent="0.2">
      <c r="A82" s="23" t="s">
        <v>70</v>
      </c>
      <c r="B82" s="17" t="str">
        <f>'C. diff CFUs'!D78</f>
        <v>nt_4_0</v>
      </c>
      <c r="C82" s="17" t="s">
        <v>39</v>
      </c>
      <c r="D82" s="17">
        <v>8</v>
      </c>
      <c r="E82" s="13">
        <f>'Daily Weight '!Q2</f>
        <v>0</v>
      </c>
      <c r="F82" s="119">
        <f>'C. diff CFUs'!Y78</f>
        <v>0</v>
      </c>
      <c r="G82" s="24" t="s">
        <v>170</v>
      </c>
      <c r="H82" s="121">
        <f>'C. diff CFUs'!C78</f>
        <v>43631</v>
      </c>
      <c r="I82" t="s">
        <v>69</v>
      </c>
    </row>
    <row r="83" spans="1:9" x14ac:dyDescent="0.2">
      <c r="A83" s="17" t="s">
        <v>70</v>
      </c>
      <c r="B83" s="17" t="str">
        <f>'C. diff CFUs'!D79</f>
        <v>nt_4_R</v>
      </c>
      <c r="C83" s="17" t="s">
        <v>40</v>
      </c>
      <c r="D83" s="17">
        <v>8</v>
      </c>
      <c r="E83" s="13">
        <f>'Daily Weight '!Q3</f>
        <v>0</v>
      </c>
      <c r="F83" s="119">
        <f>'C. diff CFUs'!Y79</f>
        <v>0</v>
      </c>
      <c r="G83" s="24" t="s">
        <v>170</v>
      </c>
      <c r="H83" s="121">
        <f>'C. diff CFUs'!C79</f>
        <v>43631</v>
      </c>
      <c r="I83" t="s">
        <v>69</v>
      </c>
    </row>
    <row r="84" spans="1:9" x14ac:dyDescent="0.2">
      <c r="A84" s="25" t="s">
        <v>27</v>
      </c>
      <c r="B84" s="17" t="str">
        <f>'C. diff CFUs'!D80</f>
        <v>f_4_0</v>
      </c>
      <c r="C84" s="25" t="s">
        <v>39</v>
      </c>
      <c r="D84" s="17">
        <v>8</v>
      </c>
      <c r="E84" s="13">
        <f>'Daily Weight '!Q4</f>
        <v>0</v>
      </c>
      <c r="F84" s="119">
        <f>'C. diff CFUs'!Y80</f>
        <v>0</v>
      </c>
      <c r="G84" s="24" t="s">
        <v>170</v>
      </c>
      <c r="H84" s="121">
        <f>'C. diff CFUs'!C80</f>
        <v>43631</v>
      </c>
      <c r="I84" t="s">
        <v>107</v>
      </c>
    </row>
    <row r="85" spans="1:9" x14ac:dyDescent="0.2">
      <c r="A85" s="25" t="s">
        <v>27</v>
      </c>
      <c r="B85" s="17" t="str">
        <f>'C. diff CFUs'!D81</f>
        <v>f_4_R</v>
      </c>
      <c r="C85" s="25" t="s">
        <v>40</v>
      </c>
      <c r="D85" s="17">
        <v>8</v>
      </c>
      <c r="E85" s="13">
        <f>'Daily Weight '!Q5</f>
        <v>0</v>
      </c>
      <c r="F85" s="119">
        <f>'C. diff CFUs'!Y81</f>
        <v>0</v>
      </c>
      <c r="G85" s="24" t="s">
        <v>170</v>
      </c>
      <c r="H85" s="121">
        <f>'C. diff CFUs'!C81</f>
        <v>43631</v>
      </c>
      <c r="I85" t="s">
        <v>107</v>
      </c>
    </row>
    <row r="86" spans="1:9" x14ac:dyDescent="0.2">
      <c r="A86" s="23" t="s">
        <v>73</v>
      </c>
      <c r="B86" s="17" t="str">
        <f>'C. diff CFUs'!D82</f>
        <v>m_4_0</v>
      </c>
      <c r="C86" s="23" t="s">
        <v>39</v>
      </c>
      <c r="D86" s="17">
        <v>8</v>
      </c>
      <c r="E86" s="13">
        <f>'Daily Weight '!Q6</f>
        <v>0</v>
      </c>
      <c r="F86" s="119">
        <f>'C. diff CFUs'!Y82</f>
        <v>0</v>
      </c>
      <c r="G86" s="24" t="s">
        <v>170</v>
      </c>
      <c r="H86" s="121">
        <f>'C. diff CFUs'!C82</f>
        <v>43631</v>
      </c>
      <c r="I86" t="s">
        <v>71</v>
      </c>
    </row>
    <row r="87" spans="1:9" x14ac:dyDescent="0.2">
      <c r="A87" s="23" t="s">
        <v>73</v>
      </c>
      <c r="B87" s="17" t="str">
        <f>'C. diff CFUs'!D83</f>
        <v>m_4_R</v>
      </c>
      <c r="C87" s="23" t="s">
        <v>40</v>
      </c>
      <c r="D87" s="17">
        <v>8</v>
      </c>
      <c r="E87" s="13">
        <f>'Daily Weight '!Q7</f>
        <v>0</v>
      </c>
      <c r="F87" s="119">
        <f>'C. diff CFUs'!Y83</f>
        <v>0</v>
      </c>
      <c r="G87" s="24" t="s">
        <v>170</v>
      </c>
      <c r="H87" s="121">
        <f>'C. diff CFUs'!C83</f>
        <v>43631</v>
      </c>
      <c r="I87" t="s">
        <v>71</v>
      </c>
    </row>
    <row r="88" spans="1:9" x14ac:dyDescent="0.2">
      <c r="A88" s="25" t="s">
        <v>7</v>
      </c>
      <c r="B88" s="17" t="str">
        <f>'C. diff CFUs'!D84</f>
        <v>l_4_0</v>
      </c>
      <c r="C88" s="25" t="s">
        <v>39</v>
      </c>
      <c r="D88" s="17">
        <v>8</v>
      </c>
      <c r="E88" s="13">
        <f>'Daily Weight '!Q8</f>
        <v>0</v>
      </c>
      <c r="F88" s="119">
        <f>'C. diff CFUs'!Y84</f>
        <v>0</v>
      </c>
      <c r="G88" s="24" t="s">
        <v>170</v>
      </c>
      <c r="H88" s="121">
        <f>'C. diff CFUs'!C84</f>
        <v>43631</v>
      </c>
      <c r="I88" t="s">
        <v>108</v>
      </c>
    </row>
    <row r="89" spans="1:9" ht="17" thickBot="1" x14ac:dyDescent="0.25">
      <c r="A89" s="116" t="s">
        <v>7</v>
      </c>
      <c r="B89" s="17" t="str">
        <f>'C. diff CFUs'!D85</f>
        <v>l_4_R</v>
      </c>
      <c r="C89" s="116" t="s">
        <v>40</v>
      </c>
      <c r="D89" s="117">
        <v>8</v>
      </c>
      <c r="E89" s="13">
        <f>'Daily Weight '!Q9</f>
        <v>0</v>
      </c>
      <c r="F89" s="119">
        <f>'C. diff CFUs'!Y85</f>
        <v>0</v>
      </c>
      <c r="G89" s="24" t="s">
        <v>170</v>
      </c>
      <c r="H89" s="121">
        <f>'C. diff CFUs'!C85</f>
        <v>43631</v>
      </c>
      <c r="I89" t="s">
        <v>108</v>
      </c>
    </row>
    <row r="90" spans="1:9" x14ac:dyDescent="0.2">
      <c r="A90" s="23" t="s">
        <v>70</v>
      </c>
      <c r="B90" s="17" t="str">
        <f>'C. diff CFUs'!D86</f>
        <v>nt_4_0</v>
      </c>
      <c r="C90" s="17" t="s">
        <v>39</v>
      </c>
      <c r="D90" s="17">
        <v>9</v>
      </c>
      <c r="E90" s="13">
        <f>'Daily Weight '!R2</f>
        <v>0</v>
      </c>
      <c r="F90" s="119">
        <f>'C. diff CFUs'!Y86</f>
        <v>0</v>
      </c>
      <c r="G90" s="24" t="s">
        <v>170</v>
      </c>
      <c r="H90" s="121">
        <f>'C. diff CFUs'!C86</f>
        <v>43632</v>
      </c>
      <c r="I90" t="s">
        <v>69</v>
      </c>
    </row>
    <row r="91" spans="1:9" x14ac:dyDescent="0.2">
      <c r="A91" s="17" t="s">
        <v>70</v>
      </c>
      <c r="B91" s="17" t="str">
        <f>'C. diff CFUs'!D87</f>
        <v>nt_4_R</v>
      </c>
      <c r="C91" s="17" t="s">
        <v>40</v>
      </c>
      <c r="D91" s="17">
        <v>9</v>
      </c>
      <c r="E91" s="13">
        <f>'Daily Weight '!R3</f>
        <v>0</v>
      </c>
      <c r="F91" s="119">
        <f>'C. diff CFUs'!Y87</f>
        <v>0</v>
      </c>
      <c r="G91" s="24" t="s">
        <v>170</v>
      </c>
      <c r="H91" s="121">
        <f>'C. diff CFUs'!C87</f>
        <v>43632</v>
      </c>
      <c r="I91" t="s">
        <v>69</v>
      </c>
    </row>
    <row r="92" spans="1:9" x14ac:dyDescent="0.2">
      <c r="A92" s="25" t="s">
        <v>27</v>
      </c>
      <c r="B92" s="17" t="str">
        <f>'C. diff CFUs'!D88</f>
        <v>f_4_0</v>
      </c>
      <c r="C92" s="25" t="s">
        <v>39</v>
      </c>
      <c r="D92" s="17">
        <v>9</v>
      </c>
      <c r="E92" s="13">
        <f>'Daily Weight '!R4</f>
        <v>0</v>
      </c>
      <c r="F92" s="119">
        <f>'C. diff CFUs'!Y88</f>
        <v>0</v>
      </c>
      <c r="G92" s="24" t="s">
        <v>170</v>
      </c>
      <c r="H92" s="121">
        <f>'C. diff CFUs'!C88</f>
        <v>43632</v>
      </c>
      <c r="I92" t="s">
        <v>107</v>
      </c>
    </row>
    <row r="93" spans="1:9" x14ac:dyDescent="0.2">
      <c r="A93" s="25" t="s">
        <v>27</v>
      </c>
      <c r="B93" s="17" t="str">
        <f>'C. diff CFUs'!D89</f>
        <v>f_4_R</v>
      </c>
      <c r="C93" s="25" t="s">
        <v>40</v>
      </c>
      <c r="D93" s="17">
        <v>9</v>
      </c>
      <c r="E93" s="13">
        <f>'Daily Weight '!R5</f>
        <v>0</v>
      </c>
      <c r="F93" s="119">
        <f>'C. diff CFUs'!Y89</f>
        <v>0</v>
      </c>
      <c r="G93" s="24" t="s">
        <v>170</v>
      </c>
      <c r="H93" s="121">
        <f>'C. diff CFUs'!C89</f>
        <v>43632</v>
      </c>
      <c r="I93" t="s">
        <v>107</v>
      </c>
    </row>
    <row r="94" spans="1:9" x14ac:dyDescent="0.2">
      <c r="A94" s="23" t="s">
        <v>73</v>
      </c>
      <c r="B94" s="17" t="str">
        <f>'C. diff CFUs'!D90</f>
        <v>m_4_0</v>
      </c>
      <c r="C94" s="23" t="s">
        <v>39</v>
      </c>
      <c r="D94" s="17">
        <v>9</v>
      </c>
      <c r="E94" s="13">
        <f>'Daily Weight '!R6</f>
        <v>0</v>
      </c>
      <c r="F94" s="119">
        <f>'C. diff CFUs'!Y90</f>
        <v>0</v>
      </c>
      <c r="G94" s="24" t="s">
        <v>170</v>
      </c>
      <c r="H94" s="121">
        <f>'C. diff CFUs'!C90</f>
        <v>43632</v>
      </c>
      <c r="I94" t="s">
        <v>71</v>
      </c>
    </row>
    <row r="95" spans="1:9" x14ac:dyDescent="0.2">
      <c r="A95" s="23" t="s">
        <v>73</v>
      </c>
      <c r="B95" s="17" t="str">
        <f>'C. diff CFUs'!D91</f>
        <v>m_4_R</v>
      </c>
      <c r="C95" s="23" t="s">
        <v>40</v>
      </c>
      <c r="D95" s="17">
        <v>9</v>
      </c>
      <c r="E95" s="13">
        <f>'Daily Weight '!R7</f>
        <v>0</v>
      </c>
      <c r="F95" s="119">
        <f>'C. diff CFUs'!Y91</f>
        <v>0</v>
      </c>
      <c r="G95" s="24" t="s">
        <v>170</v>
      </c>
      <c r="H95" s="121">
        <f>'C. diff CFUs'!C91</f>
        <v>43632</v>
      </c>
      <c r="I95" t="s">
        <v>71</v>
      </c>
    </row>
    <row r="96" spans="1:9" x14ac:dyDescent="0.2">
      <c r="A96" s="25" t="s">
        <v>7</v>
      </c>
      <c r="B96" s="17" t="str">
        <f>'C. diff CFUs'!D92</f>
        <v>l_4_0</v>
      </c>
      <c r="C96" s="25" t="s">
        <v>39</v>
      </c>
      <c r="D96" s="17">
        <v>9</v>
      </c>
      <c r="E96" s="13">
        <f>'Daily Weight '!R8</f>
        <v>0</v>
      </c>
      <c r="F96" s="119">
        <f>'C. diff CFUs'!Y92</f>
        <v>0</v>
      </c>
      <c r="G96" s="24" t="s">
        <v>170</v>
      </c>
      <c r="H96" s="121">
        <f>'C. diff CFUs'!C92</f>
        <v>43632</v>
      </c>
      <c r="I96" t="s">
        <v>108</v>
      </c>
    </row>
    <row r="97" spans="1:9" ht="17" thickBot="1" x14ac:dyDescent="0.25">
      <c r="A97" s="116" t="s">
        <v>7</v>
      </c>
      <c r="B97" s="17" t="str">
        <f>'C. diff CFUs'!D93</f>
        <v>l_4_R</v>
      </c>
      <c r="C97" s="116" t="s">
        <v>40</v>
      </c>
      <c r="D97" s="117">
        <v>9</v>
      </c>
      <c r="E97" s="13">
        <f>'Daily Weight '!R9</f>
        <v>0</v>
      </c>
      <c r="F97" s="119">
        <f>'C. diff CFUs'!Y93</f>
        <v>0</v>
      </c>
      <c r="G97" s="24" t="s">
        <v>170</v>
      </c>
      <c r="H97" s="121">
        <f>'C. diff CFUs'!C93</f>
        <v>43632</v>
      </c>
      <c r="I97" t="s">
        <v>108</v>
      </c>
    </row>
    <row r="98" spans="1:9" x14ac:dyDescent="0.2">
      <c r="A98" s="23" t="s">
        <v>70</v>
      </c>
      <c r="B98" s="17" t="str">
        <f>'C. diff CFUs'!D94</f>
        <v>nt_4_0</v>
      </c>
      <c r="C98" s="17" t="s">
        <v>39</v>
      </c>
      <c r="D98" s="17">
        <v>10</v>
      </c>
      <c r="E98" s="13">
        <f>'Daily Weight '!S2</f>
        <v>0</v>
      </c>
      <c r="F98" s="119">
        <f>'C. diff CFUs'!Y94</f>
        <v>0</v>
      </c>
      <c r="G98" s="24" t="s">
        <v>170</v>
      </c>
      <c r="H98" s="121">
        <f>'C. diff CFUs'!C94</f>
        <v>43633</v>
      </c>
      <c r="I98" t="s">
        <v>69</v>
      </c>
    </row>
    <row r="99" spans="1:9" x14ac:dyDescent="0.2">
      <c r="A99" s="17" t="s">
        <v>70</v>
      </c>
      <c r="B99" s="17" t="str">
        <f>'C. diff CFUs'!D95</f>
        <v>nt_4_R</v>
      </c>
      <c r="C99" s="17" t="s">
        <v>40</v>
      </c>
      <c r="D99" s="17">
        <v>10</v>
      </c>
      <c r="E99" s="13">
        <f>'Daily Weight '!S3</f>
        <v>0</v>
      </c>
      <c r="F99" s="119">
        <f>'C. diff CFUs'!Y95</f>
        <v>0</v>
      </c>
      <c r="G99" s="24" t="s">
        <v>170</v>
      </c>
      <c r="H99" s="121">
        <f>'C. diff CFUs'!C95</f>
        <v>43633</v>
      </c>
      <c r="I99" t="s">
        <v>69</v>
      </c>
    </row>
    <row r="100" spans="1:9" x14ac:dyDescent="0.2">
      <c r="A100" s="25" t="s">
        <v>27</v>
      </c>
      <c r="B100" s="17" t="str">
        <f>'C. diff CFUs'!D96</f>
        <v>f_4_0</v>
      </c>
      <c r="C100" s="25" t="s">
        <v>39</v>
      </c>
      <c r="D100" s="17">
        <v>10</v>
      </c>
      <c r="E100" s="13">
        <f>'Daily Weight '!S4</f>
        <v>0</v>
      </c>
      <c r="F100" s="119">
        <f>'C. diff CFUs'!Y96</f>
        <v>0</v>
      </c>
      <c r="G100" s="24" t="s">
        <v>170</v>
      </c>
      <c r="H100" s="121">
        <f>'C. diff CFUs'!C96</f>
        <v>43633</v>
      </c>
      <c r="I100" t="s">
        <v>107</v>
      </c>
    </row>
    <row r="101" spans="1:9" x14ac:dyDescent="0.2">
      <c r="A101" s="25" t="s">
        <v>27</v>
      </c>
      <c r="B101" s="17" t="str">
        <f>'C. diff CFUs'!D97</f>
        <v>f_4_R</v>
      </c>
      <c r="C101" s="25" t="s">
        <v>40</v>
      </c>
      <c r="D101" s="17">
        <v>10</v>
      </c>
      <c r="E101" s="13">
        <f>'Daily Weight '!S5</f>
        <v>0</v>
      </c>
      <c r="F101" s="119">
        <f>'C. diff CFUs'!Y97</f>
        <v>0</v>
      </c>
      <c r="G101" s="24" t="s">
        <v>170</v>
      </c>
      <c r="H101" s="121">
        <f>'C. diff CFUs'!C97</f>
        <v>43633</v>
      </c>
      <c r="I101" t="s">
        <v>107</v>
      </c>
    </row>
    <row r="102" spans="1:9" x14ac:dyDescent="0.2">
      <c r="A102" s="23" t="s">
        <v>73</v>
      </c>
      <c r="B102" s="17" t="str">
        <f>'C. diff CFUs'!D98</f>
        <v>m_4_0</v>
      </c>
      <c r="C102" s="23" t="s">
        <v>39</v>
      </c>
      <c r="D102" s="17">
        <v>10</v>
      </c>
      <c r="E102" s="13">
        <f>'Daily Weight '!S6</f>
        <v>0</v>
      </c>
      <c r="F102" s="119">
        <f>'C. diff CFUs'!Y98</f>
        <v>0</v>
      </c>
      <c r="G102" s="24" t="s">
        <v>170</v>
      </c>
      <c r="H102" s="121">
        <f>'C. diff CFUs'!C98</f>
        <v>43633</v>
      </c>
      <c r="I102" t="s">
        <v>71</v>
      </c>
    </row>
    <row r="103" spans="1:9" x14ac:dyDescent="0.2">
      <c r="A103" s="23" t="s">
        <v>73</v>
      </c>
      <c r="B103" s="17" t="str">
        <f>'C. diff CFUs'!D99</f>
        <v>m_4_R</v>
      </c>
      <c r="C103" s="23" t="s">
        <v>40</v>
      </c>
      <c r="D103" s="17">
        <v>10</v>
      </c>
      <c r="E103" s="13">
        <f>'Daily Weight '!S7</f>
        <v>0</v>
      </c>
      <c r="F103" s="119">
        <f>'C. diff CFUs'!Y99</f>
        <v>0</v>
      </c>
      <c r="G103" s="24" t="s">
        <v>170</v>
      </c>
      <c r="H103" s="121">
        <f>'C. diff CFUs'!C99</f>
        <v>43633</v>
      </c>
      <c r="I103" t="s">
        <v>71</v>
      </c>
    </row>
    <row r="104" spans="1:9" x14ac:dyDescent="0.2">
      <c r="A104" s="25" t="s">
        <v>7</v>
      </c>
      <c r="B104" s="17" t="str">
        <f>'C. diff CFUs'!D100</f>
        <v>l_4_0</v>
      </c>
      <c r="C104" s="25" t="s">
        <v>39</v>
      </c>
      <c r="D104" s="17">
        <v>10</v>
      </c>
      <c r="E104" s="13">
        <f>'Daily Weight '!S8</f>
        <v>0</v>
      </c>
      <c r="F104" s="119">
        <f>'C. diff CFUs'!Y100</f>
        <v>0</v>
      </c>
      <c r="G104" s="24" t="s">
        <v>170</v>
      </c>
      <c r="H104" s="121">
        <f>'C. diff CFUs'!C100</f>
        <v>43633</v>
      </c>
      <c r="I104" t="s">
        <v>108</v>
      </c>
    </row>
    <row r="105" spans="1:9" ht="17" thickBot="1" x14ac:dyDescent="0.25">
      <c r="A105" s="116" t="s">
        <v>7</v>
      </c>
      <c r="B105" s="17" t="str">
        <f>'C. diff CFUs'!D101</f>
        <v>l_4_R</v>
      </c>
      <c r="C105" s="116" t="s">
        <v>40</v>
      </c>
      <c r="D105" s="117">
        <v>10</v>
      </c>
      <c r="E105" s="13">
        <f>'Daily Weight '!S9</f>
        <v>0</v>
      </c>
      <c r="F105" s="119">
        <f>'C. diff CFUs'!Y101</f>
        <v>0</v>
      </c>
      <c r="G105" s="24" t="s">
        <v>170</v>
      </c>
      <c r="H105" s="121">
        <f>'C. diff CFUs'!C101</f>
        <v>43633</v>
      </c>
      <c r="I105" t="s">
        <v>108</v>
      </c>
    </row>
    <row r="106" spans="1:9" x14ac:dyDescent="0.2">
      <c r="A106" s="188" t="s">
        <v>194</v>
      </c>
      <c r="B106" s="160" t="s">
        <v>192</v>
      </c>
      <c r="C106" s="188" t="s">
        <v>39</v>
      </c>
      <c r="D106" s="170">
        <v>-1</v>
      </c>
      <c r="E106">
        <f>'Daily Weight '!F10</f>
        <v>24.3</v>
      </c>
      <c r="F106" s="119">
        <v>0</v>
      </c>
      <c r="G106" s="24" t="s">
        <v>170</v>
      </c>
      <c r="H106" s="121">
        <v>43622</v>
      </c>
      <c r="I106" t="s">
        <v>214</v>
      </c>
    </row>
    <row r="107" spans="1:9" x14ac:dyDescent="0.2">
      <c r="A107" s="188" t="s">
        <v>194</v>
      </c>
      <c r="B107" s="17" t="s">
        <v>193</v>
      </c>
      <c r="C107" s="188" t="s">
        <v>39</v>
      </c>
      <c r="D107" s="170">
        <v>-1</v>
      </c>
      <c r="E107">
        <f>'Daily Weight '!F11</f>
        <v>24.1</v>
      </c>
      <c r="F107" s="30">
        <v>0</v>
      </c>
      <c r="G107" s="24" t="s">
        <v>170</v>
      </c>
      <c r="H107" s="121">
        <v>43622</v>
      </c>
      <c r="I107" t="s">
        <v>214</v>
      </c>
    </row>
    <row r="108" spans="1:9" x14ac:dyDescent="0.2">
      <c r="A108" s="188" t="s">
        <v>194</v>
      </c>
      <c r="B108" s="160" t="s">
        <v>192</v>
      </c>
      <c r="C108" s="188" t="s">
        <v>39</v>
      </c>
      <c r="D108" s="170">
        <v>0</v>
      </c>
      <c r="E108">
        <f>'Daily Weight '!G10</f>
        <v>23.3</v>
      </c>
      <c r="F108" s="30">
        <f>'C. diff CFUs'!Y2</f>
        <v>0</v>
      </c>
      <c r="G108" s="24" t="s">
        <v>170</v>
      </c>
      <c r="H108" s="121">
        <v>43623</v>
      </c>
      <c r="I108" t="s">
        <v>214</v>
      </c>
    </row>
    <row r="109" spans="1:9" x14ac:dyDescent="0.2">
      <c r="A109" s="188" t="s">
        <v>194</v>
      </c>
      <c r="B109" s="17" t="s">
        <v>193</v>
      </c>
      <c r="C109" s="188" t="s">
        <v>39</v>
      </c>
      <c r="D109" s="170">
        <v>0</v>
      </c>
      <c r="E109">
        <f>'Daily Weight '!G11</f>
        <v>23.6</v>
      </c>
      <c r="F109" s="30">
        <f>'C. diff CFUs'!Y3</f>
        <v>0</v>
      </c>
      <c r="G109" s="24" t="s">
        <v>170</v>
      </c>
      <c r="H109" s="121">
        <v>43623</v>
      </c>
      <c r="I109" t="s">
        <v>214</v>
      </c>
    </row>
    <row r="110" spans="1:9" x14ac:dyDescent="0.2">
      <c r="A110" s="188" t="s">
        <v>194</v>
      </c>
      <c r="B110" s="160" t="s">
        <v>192</v>
      </c>
      <c r="C110" s="188" t="s">
        <v>39</v>
      </c>
      <c r="D110" s="170">
        <v>1</v>
      </c>
      <c r="E110">
        <f>'Daily Weight '!H10</f>
        <v>23</v>
      </c>
      <c r="F110" s="30">
        <f>'C. diff CFUs'!Y12</f>
        <v>97466666.666666672</v>
      </c>
      <c r="G110" s="24" t="s">
        <v>170</v>
      </c>
      <c r="H110" s="121">
        <f>H108+1</f>
        <v>43624</v>
      </c>
      <c r="I110" t="s">
        <v>214</v>
      </c>
    </row>
    <row r="111" spans="1:9" x14ac:dyDescent="0.2">
      <c r="A111" s="188" t="s">
        <v>194</v>
      </c>
      <c r="B111" s="17" t="s">
        <v>193</v>
      </c>
      <c r="C111" s="188" t="s">
        <v>39</v>
      </c>
      <c r="D111" s="170">
        <v>1</v>
      </c>
      <c r="E111">
        <f>'Daily Weight '!H11</f>
        <v>23.8</v>
      </c>
      <c r="F111" s="30">
        <f>'C. diff CFUs'!Y13</f>
        <v>97000000</v>
      </c>
      <c r="G111" s="24" t="s">
        <v>170</v>
      </c>
      <c r="H111" s="121">
        <f t="shared" ref="H111:H129" si="2">H109+1</f>
        <v>43624</v>
      </c>
      <c r="I111" t="s">
        <v>214</v>
      </c>
    </row>
    <row r="112" spans="1:9" x14ac:dyDescent="0.2">
      <c r="A112" s="188" t="s">
        <v>194</v>
      </c>
      <c r="B112" s="171" t="s">
        <v>192</v>
      </c>
      <c r="C112" s="188" t="s">
        <v>39</v>
      </c>
      <c r="D112" s="170">
        <v>2</v>
      </c>
      <c r="E112">
        <f>'Daily Weight '!I10</f>
        <v>22.6</v>
      </c>
      <c r="F112" s="30">
        <f>'C. diff CFUs'!Y22</f>
        <v>3686666.6666666665</v>
      </c>
      <c r="G112" s="24" t="s">
        <v>170</v>
      </c>
      <c r="H112" s="121">
        <f t="shared" si="2"/>
        <v>43625</v>
      </c>
      <c r="I112" t="s">
        <v>214</v>
      </c>
    </row>
    <row r="113" spans="1:9" x14ac:dyDescent="0.2">
      <c r="A113" s="188" t="s">
        <v>194</v>
      </c>
      <c r="B113" s="20" t="s">
        <v>193</v>
      </c>
      <c r="C113" s="188" t="s">
        <v>39</v>
      </c>
      <c r="D113" s="170">
        <v>2</v>
      </c>
      <c r="E113">
        <f>'Daily Weight '!I11</f>
        <v>23.7</v>
      </c>
      <c r="F113" s="30">
        <f>'C. diff CFUs'!Y23</f>
        <v>71300000</v>
      </c>
      <c r="G113" s="24" t="s">
        <v>170</v>
      </c>
      <c r="H113" s="121">
        <f t="shared" si="2"/>
        <v>43625</v>
      </c>
      <c r="I113" t="s">
        <v>214</v>
      </c>
    </row>
    <row r="114" spans="1:9" x14ac:dyDescent="0.2">
      <c r="A114" s="188" t="s">
        <v>194</v>
      </c>
      <c r="B114" s="171" t="s">
        <v>192</v>
      </c>
      <c r="C114" s="188" t="s">
        <v>39</v>
      </c>
      <c r="D114" s="170">
        <v>3</v>
      </c>
      <c r="E114">
        <f>'Daily Weight '!J10</f>
        <v>23.2</v>
      </c>
      <c r="F114" s="30">
        <f>'C. diff CFUs'!Y32</f>
        <v>5142235.2941176938</v>
      </c>
      <c r="G114" s="24" t="s">
        <v>170</v>
      </c>
      <c r="H114" s="121">
        <f t="shared" si="2"/>
        <v>43626</v>
      </c>
      <c r="I114" t="s">
        <v>214</v>
      </c>
    </row>
    <row r="115" spans="1:9" x14ac:dyDescent="0.2">
      <c r="A115" s="188" t="s">
        <v>194</v>
      </c>
      <c r="B115" s="20" t="s">
        <v>193</v>
      </c>
      <c r="C115" s="188" t="s">
        <v>39</v>
      </c>
      <c r="D115" s="170">
        <v>3</v>
      </c>
      <c r="E115">
        <f>'Daily Weight '!J11</f>
        <v>22.5</v>
      </c>
      <c r="F115" s="30">
        <f>'C. diff CFUs'!Y33</f>
        <v>27083837.209302284</v>
      </c>
      <c r="G115" s="24" t="s">
        <v>170</v>
      </c>
      <c r="H115" s="121">
        <f t="shared" si="2"/>
        <v>43626</v>
      </c>
      <c r="I115" t="s">
        <v>214</v>
      </c>
    </row>
    <row r="116" spans="1:9" x14ac:dyDescent="0.2">
      <c r="A116" s="188" t="s">
        <v>194</v>
      </c>
      <c r="B116" s="160" t="s">
        <v>192</v>
      </c>
      <c r="C116" s="188" t="s">
        <v>39</v>
      </c>
      <c r="D116" s="170">
        <v>4</v>
      </c>
      <c r="E116">
        <f>'Daily Weight '!K10</f>
        <v>23.8</v>
      </c>
      <c r="F116" s="30">
        <f>'C. diff CFUs'!Y42</f>
        <v>4000</v>
      </c>
      <c r="G116" s="24" t="s">
        <v>170</v>
      </c>
      <c r="H116" s="121">
        <f t="shared" si="2"/>
        <v>43627</v>
      </c>
      <c r="I116" t="s">
        <v>214</v>
      </c>
    </row>
    <row r="117" spans="1:9" x14ac:dyDescent="0.2">
      <c r="A117" s="188" t="s">
        <v>194</v>
      </c>
      <c r="B117" s="17" t="s">
        <v>193</v>
      </c>
      <c r="C117" s="188" t="s">
        <v>39</v>
      </c>
      <c r="D117" s="170">
        <v>4</v>
      </c>
      <c r="E117">
        <f>'Daily Weight '!K11</f>
        <v>23.7</v>
      </c>
      <c r="F117" s="30">
        <f>'C. diff CFUs'!Y43</f>
        <v>3046666.6666666665</v>
      </c>
      <c r="G117" s="24" t="s">
        <v>170</v>
      </c>
      <c r="H117" s="121">
        <f t="shared" si="2"/>
        <v>43627</v>
      </c>
      <c r="I117" t="s">
        <v>214</v>
      </c>
    </row>
    <row r="118" spans="1:9" x14ac:dyDescent="0.2">
      <c r="A118" s="188" t="s">
        <v>194</v>
      </c>
      <c r="B118" s="160" t="s">
        <v>192</v>
      </c>
      <c r="C118" s="188" t="s">
        <v>39</v>
      </c>
      <c r="D118" s="170">
        <v>5</v>
      </c>
      <c r="E118">
        <f>'Daily Weight '!L10</f>
        <v>24.1</v>
      </c>
      <c r="F118" s="30">
        <f>'C. diff CFUs'!Y52</f>
        <v>200</v>
      </c>
      <c r="G118" s="24" t="s">
        <v>170</v>
      </c>
      <c r="H118" s="121">
        <f t="shared" si="2"/>
        <v>43628</v>
      </c>
      <c r="I118" t="s">
        <v>214</v>
      </c>
    </row>
    <row r="119" spans="1:9" x14ac:dyDescent="0.2">
      <c r="A119" s="188" t="s">
        <v>194</v>
      </c>
      <c r="B119" s="17" t="s">
        <v>193</v>
      </c>
      <c r="C119" s="188" t="s">
        <v>39</v>
      </c>
      <c r="D119" s="170">
        <v>5</v>
      </c>
      <c r="E119">
        <f>'Daily Weight '!L11</f>
        <v>23.9</v>
      </c>
      <c r="F119" s="30">
        <f>'C. diff CFUs'!Y53</f>
        <v>5186666.666666667</v>
      </c>
      <c r="G119" s="24" t="s">
        <v>170</v>
      </c>
      <c r="H119" s="121">
        <f t="shared" si="2"/>
        <v>43628</v>
      </c>
      <c r="I119" t="s">
        <v>214</v>
      </c>
    </row>
    <row r="120" spans="1:9" x14ac:dyDescent="0.2">
      <c r="A120" s="188" t="s">
        <v>194</v>
      </c>
      <c r="B120" s="160" t="s">
        <v>192</v>
      </c>
      <c r="C120" s="188" t="s">
        <v>39</v>
      </c>
      <c r="D120" s="170">
        <v>6</v>
      </c>
      <c r="E120">
        <f>'Daily Weight '!M10</f>
        <v>0</v>
      </c>
      <c r="F120" s="30">
        <f>'C. diff CFUs'!Y62</f>
        <v>0</v>
      </c>
      <c r="G120" s="24" t="s">
        <v>170</v>
      </c>
      <c r="H120" s="121">
        <f t="shared" si="2"/>
        <v>43629</v>
      </c>
      <c r="I120" t="s">
        <v>214</v>
      </c>
    </row>
    <row r="121" spans="1:9" x14ac:dyDescent="0.2">
      <c r="A121" s="188" t="s">
        <v>194</v>
      </c>
      <c r="B121" s="17" t="s">
        <v>193</v>
      </c>
      <c r="C121" s="188" t="s">
        <v>39</v>
      </c>
      <c r="D121" s="170">
        <v>6</v>
      </c>
      <c r="E121">
        <f>'Daily Weight '!M11</f>
        <v>0</v>
      </c>
      <c r="F121" s="30">
        <f>'C. diff CFUs'!Y63</f>
        <v>0</v>
      </c>
      <c r="G121" s="24" t="s">
        <v>170</v>
      </c>
      <c r="H121" s="121">
        <f t="shared" si="2"/>
        <v>43629</v>
      </c>
      <c r="I121" t="s">
        <v>214</v>
      </c>
    </row>
    <row r="122" spans="1:9" x14ac:dyDescent="0.2">
      <c r="A122" s="188" t="s">
        <v>194</v>
      </c>
      <c r="B122" s="160" t="s">
        <v>192</v>
      </c>
      <c r="C122" s="188" t="s">
        <v>39</v>
      </c>
      <c r="D122" s="170">
        <v>7</v>
      </c>
      <c r="E122">
        <f>'Daily Weight '!N10</f>
        <v>0</v>
      </c>
      <c r="F122" s="30">
        <f>'C. diff CFUs'!Y72</f>
        <v>0</v>
      </c>
      <c r="G122" s="24" t="s">
        <v>170</v>
      </c>
      <c r="H122" s="121">
        <f t="shared" si="2"/>
        <v>43630</v>
      </c>
      <c r="I122" t="s">
        <v>214</v>
      </c>
    </row>
    <row r="123" spans="1:9" x14ac:dyDescent="0.2">
      <c r="A123" s="188" t="s">
        <v>194</v>
      </c>
      <c r="B123" s="17" t="s">
        <v>193</v>
      </c>
      <c r="C123" s="188" t="s">
        <v>39</v>
      </c>
      <c r="D123" s="170">
        <v>7</v>
      </c>
      <c r="E123">
        <f>'Daily Weight '!N11</f>
        <v>0</v>
      </c>
      <c r="F123" s="30">
        <f>'C. diff CFUs'!Y73</f>
        <v>0</v>
      </c>
      <c r="G123" s="24" t="s">
        <v>170</v>
      </c>
      <c r="H123" s="121">
        <f t="shared" si="2"/>
        <v>43630</v>
      </c>
      <c r="I123" t="s">
        <v>214</v>
      </c>
    </row>
    <row r="124" spans="1:9" x14ac:dyDescent="0.2">
      <c r="A124" s="188" t="s">
        <v>194</v>
      </c>
      <c r="B124" s="171" t="s">
        <v>192</v>
      </c>
      <c r="C124" s="188" t="s">
        <v>39</v>
      </c>
      <c r="D124" s="170">
        <v>8</v>
      </c>
      <c r="E124">
        <f>'Daily Weight '!O10</f>
        <v>0</v>
      </c>
      <c r="F124" s="30">
        <f>'C. diff CFUs'!Y82</f>
        <v>0</v>
      </c>
      <c r="G124" s="24" t="s">
        <v>170</v>
      </c>
      <c r="H124" s="121">
        <f t="shared" si="2"/>
        <v>43631</v>
      </c>
      <c r="I124" t="s">
        <v>214</v>
      </c>
    </row>
    <row r="125" spans="1:9" x14ac:dyDescent="0.2">
      <c r="A125" s="188" t="s">
        <v>194</v>
      </c>
      <c r="B125" s="20" t="s">
        <v>193</v>
      </c>
      <c r="C125" s="188" t="s">
        <v>39</v>
      </c>
      <c r="D125" s="170">
        <v>8</v>
      </c>
      <c r="E125">
        <f>'Daily Weight '!O11</f>
        <v>0</v>
      </c>
      <c r="F125" s="30">
        <f>'C. diff CFUs'!Y83</f>
        <v>0</v>
      </c>
      <c r="G125" s="24" t="s">
        <v>170</v>
      </c>
      <c r="H125" s="121">
        <f t="shared" si="2"/>
        <v>43631</v>
      </c>
      <c r="I125" t="s">
        <v>214</v>
      </c>
    </row>
    <row r="126" spans="1:9" x14ac:dyDescent="0.2">
      <c r="A126" s="188" t="s">
        <v>194</v>
      </c>
      <c r="B126" s="171" t="s">
        <v>192</v>
      </c>
      <c r="C126" s="188" t="s">
        <v>39</v>
      </c>
      <c r="D126" s="170">
        <v>9</v>
      </c>
      <c r="E126">
        <f>'Daily Weight '!P10</f>
        <v>0</v>
      </c>
      <c r="F126" s="30">
        <f>'C. diff CFUs'!Y92</f>
        <v>0</v>
      </c>
      <c r="G126" s="24" t="s">
        <v>170</v>
      </c>
      <c r="H126" s="121">
        <f t="shared" si="2"/>
        <v>43632</v>
      </c>
      <c r="I126" t="s">
        <v>214</v>
      </c>
    </row>
    <row r="127" spans="1:9" x14ac:dyDescent="0.2">
      <c r="A127" s="188" t="s">
        <v>194</v>
      </c>
      <c r="B127" s="20" t="s">
        <v>193</v>
      </c>
      <c r="C127" s="188" t="s">
        <v>39</v>
      </c>
      <c r="D127" s="170">
        <v>9</v>
      </c>
      <c r="E127">
        <f>'Daily Weight '!P11</f>
        <v>0</v>
      </c>
      <c r="F127" s="30">
        <f>'C. diff CFUs'!Y93</f>
        <v>0</v>
      </c>
      <c r="G127" s="24" t="s">
        <v>170</v>
      </c>
      <c r="H127" s="121">
        <f t="shared" si="2"/>
        <v>43632</v>
      </c>
      <c r="I127" t="s">
        <v>214</v>
      </c>
    </row>
    <row r="128" spans="1:9" x14ac:dyDescent="0.2">
      <c r="A128" s="188" t="s">
        <v>194</v>
      </c>
      <c r="B128" s="171" t="s">
        <v>192</v>
      </c>
      <c r="C128" s="188" t="s">
        <v>39</v>
      </c>
      <c r="D128" s="170">
        <v>10</v>
      </c>
      <c r="E128">
        <f>'Daily Weight '!Q10</f>
        <v>0</v>
      </c>
      <c r="F128" s="30">
        <f>'C. diff CFUs'!Y106</f>
        <v>0</v>
      </c>
      <c r="G128" s="24" t="s">
        <v>170</v>
      </c>
      <c r="H128" s="121">
        <f t="shared" si="2"/>
        <v>43633</v>
      </c>
      <c r="I128" t="s">
        <v>214</v>
      </c>
    </row>
    <row r="129" spans="1:9" x14ac:dyDescent="0.2">
      <c r="A129" s="188" t="s">
        <v>194</v>
      </c>
      <c r="B129" s="20" t="s">
        <v>193</v>
      </c>
      <c r="C129" s="188" t="s">
        <v>39</v>
      </c>
      <c r="D129" s="170">
        <v>10</v>
      </c>
      <c r="E129">
        <f>'Daily Weight '!Q11</f>
        <v>0</v>
      </c>
      <c r="F129" s="30">
        <f>'C. diff CFUs'!Y107</f>
        <v>0</v>
      </c>
      <c r="G129" s="24" t="s">
        <v>170</v>
      </c>
      <c r="H129" s="121">
        <f t="shared" si="2"/>
        <v>43633</v>
      </c>
      <c r="I129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Abbrev.</vt:lpstr>
      <vt:lpstr>Calendar</vt:lpstr>
      <vt:lpstr>Cg. setup</vt:lpstr>
      <vt:lpstr>Inventory</vt:lpstr>
      <vt:lpstr>Daily Weight </vt:lpstr>
      <vt:lpstr>Tube wts</vt:lpstr>
      <vt:lpstr>D0 C. diff</vt:lpstr>
      <vt:lpstr>C. diff CFUs</vt:lpstr>
      <vt:lpstr>clean_cfu_df</vt:lpstr>
      <vt:lpstr>FMT</vt:lpstr>
      <vt:lpstr>Antibiotic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Lesniak</cp:lastModifiedBy>
  <cp:lastPrinted>2019-06-12T16:49:19Z</cp:lastPrinted>
  <dcterms:created xsi:type="dcterms:W3CDTF">2018-11-07T16:14:13Z</dcterms:created>
  <dcterms:modified xsi:type="dcterms:W3CDTF">2021-03-09T17:03:35Z</dcterms:modified>
</cp:coreProperties>
</file>